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rEo1relIXcOCtTJPawZoAKzHhxHlet9NvBjINnQ27IMNeSodarx/PoBegcWEoabE3GlJfWf5FjmtB86eD/VPZQ==" workbookSaltValue="zF+HTBo7a1VXXVzaG7yP0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F14" i="7"/>
  <c r="BK21" i="11"/>
  <c r="V13" i="11"/>
  <c r="AP22" i="20"/>
  <c r="BL25" i="11"/>
  <c r="BM20" i="11"/>
  <c r="BU28" i="17"/>
  <c r="BW9" i="20"/>
  <c r="BV17" i="16"/>
  <c r="BV25" i="16"/>
  <c r="BU20" i="17"/>
  <c r="BW29" i="20"/>
  <c r="BW22" i="20"/>
  <c r="BV29" i="16"/>
  <c r="BU17" i="17"/>
  <c r="T14" i="16"/>
  <c r="AA20" i="16"/>
  <c r="AZ17" i="11"/>
  <c r="BF20" i="11"/>
  <c r="S16" i="16"/>
  <c r="BL20" i="11"/>
  <c r="BL16" i="11"/>
  <c r="BH21" i="11"/>
  <c r="AZ25" i="11"/>
  <c r="AZ30" i="11" s="1"/>
  <c r="BK17" i="11"/>
  <c r="BM18" i="11"/>
  <c r="BH17" i="11"/>
  <c r="AQ12" i="21"/>
  <c r="BI22" i="11"/>
  <c r="BH25" i="11"/>
  <c r="BK10" i="11"/>
  <c r="BI21" i="11"/>
  <c r="T14" i="20"/>
  <c r="BF25" i="8"/>
  <c r="BG16" i="8"/>
  <c r="BD9" i="8"/>
  <c r="BF9" i="8"/>
  <c r="L22" i="2"/>
  <c r="C30" i="7"/>
  <c r="L29" i="2"/>
  <c r="L16" i="2"/>
  <c r="L17" i="2"/>
  <c r="X19" i="16"/>
  <c r="L18" i="2"/>
  <c r="AO14" i="21"/>
  <c r="L20" i="2"/>
  <c r="AA11" i="16"/>
  <c r="L21" i="2"/>
  <c r="AP14" i="16"/>
  <c r="AA9" i="16"/>
  <c r="V9" i="16"/>
  <c r="T23" i="17"/>
  <c r="T26" i="17" s="1"/>
  <c r="T30" i="17" s="1"/>
  <c r="BG16" i="13"/>
  <c r="BE17" i="13"/>
  <c r="BE16" i="13"/>
  <c r="G23" i="14"/>
  <c r="X32" i="20"/>
  <c r="G30" i="14"/>
  <c r="BF17" i="8" l="1"/>
  <c r="BD12" i="8"/>
  <c r="AY14" i="8"/>
  <c r="X13" i="16"/>
  <c r="V25" i="16"/>
  <c r="L9" i="2"/>
  <c r="U9" i="17"/>
  <c r="U31" i="17" s="1"/>
  <c r="L19" i="2"/>
  <c r="X10" i="21"/>
  <c r="L13" i="2"/>
  <c r="L25" i="2"/>
  <c r="L12" i="2"/>
  <c r="S17" i="17"/>
  <c r="S16" i="17"/>
  <c r="X21" i="20"/>
  <c r="L28" i="2"/>
  <c r="L10" i="2"/>
  <c r="BH22" i="11"/>
  <c r="BL17" i="11"/>
  <c r="BK22" i="11"/>
  <c r="BJ17" i="11"/>
  <c r="BH12" i="16"/>
  <c r="AO25" i="17"/>
  <c r="BL22" i="11"/>
  <c r="BF16" i="11"/>
  <c r="Q16" i="17"/>
  <c r="BJ10" i="11"/>
  <c r="BK20" i="11"/>
  <c r="BH25" i="16"/>
  <c r="BF12" i="11"/>
  <c r="P16" i="17"/>
  <c r="T17" i="11"/>
  <c r="X16" i="17"/>
  <c r="R28" i="14"/>
  <c r="AZ22" i="11"/>
  <c r="BV20" i="16"/>
  <c r="S11" i="17"/>
  <c r="BU18" i="17"/>
  <c r="BV10" i="16"/>
  <c r="U10" i="17"/>
  <c r="BW16" i="20"/>
  <c r="BW17" i="20"/>
  <c r="BU21" i="17"/>
  <c r="BU11" i="17"/>
  <c r="BJ28" i="11"/>
  <c r="AZ9" i="11"/>
  <c r="AZ14" i="11" s="1"/>
  <c r="AZ13" i="11"/>
  <c r="BI19" i="11"/>
  <c r="BI25" i="11"/>
  <c r="BG22" i="11"/>
  <c r="Q18" i="20"/>
  <c r="Q23" i="20" s="1"/>
  <c r="V16" i="11"/>
  <c r="Z14" i="17"/>
  <c r="BM9" i="11"/>
  <c r="BM21" i="11"/>
  <c r="S18" i="17"/>
  <c r="BG17" i="11"/>
  <c r="BH11" i="11"/>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BV11" i="16"/>
  <c r="BU29" i="17"/>
  <c r="BV21" i="16"/>
  <c r="BW13" i="20"/>
  <c r="BV13" i="16"/>
  <c r="BV28" i="16"/>
  <c r="BU25" i="17"/>
  <c r="BG21" i="11"/>
  <c r="AP18" i="20"/>
  <c r="AP26" i="21"/>
  <c r="BG19" i="11"/>
  <c r="V20" i="11"/>
  <c r="AP16" i="20"/>
  <c r="BJ16" i="11"/>
  <c r="V9" i="11"/>
  <c r="BM12" i="11"/>
  <c r="V11" i="11"/>
  <c r="BK29" i="11"/>
  <c r="BG20" i="11"/>
  <c r="BF28" i="11"/>
  <c r="BH16" i="16"/>
  <c r="BF13" i="11"/>
  <c r="BH9" i="16"/>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H16"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AA32" i="20"/>
  <c r="G14" i="14"/>
  <c r="AN32" i="20"/>
  <c r="Z32" i="20"/>
  <c r="T32" i="20"/>
  <c r="AM32" i="20"/>
  <c r="Q32" i="20"/>
  <c r="W32" i="21"/>
  <c r="E32" i="20"/>
  <c r="AV32" i="20"/>
  <c r="O32" i="20"/>
  <c r="AQ32" i="21"/>
  <c r="Y32" i="20"/>
  <c r="L32" i="20"/>
  <c r="AJ32" i="20"/>
  <c r="AH32" i="20"/>
  <c r="I32" i="20"/>
  <c r="O18" i="11"/>
  <c r="AB32" i="20"/>
  <c r="AI32" i="20"/>
  <c r="S32" i="20"/>
  <c r="R32" i="20"/>
  <c r="N32" i="20"/>
  <c r="AC32" i="20"/>
  <c r="BF23" i="13" l="1"/>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K32" i="20"/>
  <c r="O12" i="11"/>
  <c r="H32" i="17"/>
  <c r="AV32" i="21"/>
  <c r="AW32" i="11"/>
  <c r="Q12"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AR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J32" i="21"/>
  <c r="AV32" i="16"/>
  <c r="F33" i="11" l="1"/>
  <c r="BM31" i="1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<sst xmlns="http://schemas.openxmlformats.org/spreadsheetml/2006/main" count="2682" uniqueCount="1193">
  <si>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</si>
  <si>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</si>
  <si>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</si>
  <si>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</si>
  <si>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</si>
  <si>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</si>
  <si>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</si>
  <si>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</si>
  <si>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</si>
  <si>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</si>
  <si>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</si>
  <si>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</si>
  <si>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</si>
  <si>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</si>
  <si>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</si>
  <si>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</si>
  <si>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</si>
  <si>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</si>
  <si>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</si>
  <si>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</si>
  <si>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</si>
  <si>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</si>
  <si>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</si>
  <si>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</si>
  <si>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</si>
  <si>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</si>
  <si>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</si>
  <si>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</si>
  <si>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</si>
  <si>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</si>
  <si>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</si>
  <si>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</si>
  <si>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</si>
  <si>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</si>
  <si>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</si>
  <si>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</si>
  <si>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</si>
  <si>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</si>
  <si>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</si>
  <si>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</si>
  <si>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</si>
  <si>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</si>
  <si>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</si>
  <si>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</si>
  <si>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</si>
  <si>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</si>
  <si>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</si>
  <si>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</si>
  <si>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</si>
  <si>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</si>
  <si>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</si>
  <si>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</si>
  <si>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</si>
  <si>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</si>
  <si>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</si>
  <si>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</si>
  <si>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</si>
  <si>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</si>
  <si>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</si>
  <si>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</si>
  <si>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</si>
  <si>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</si>
  <si>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</si>
  <si>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</si>
  <si>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</si>
  <si>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</si>
  <si>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</si>
  <si>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</si>
  <si>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</si>
  <si>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</si>
  <si>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</si>
  <si>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</si>
  <si>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</si>
  <si>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</si>
  <si>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</si>
  <si>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</si>
  <si>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</si>
  <si>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</si>
  <si>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</si>
  <si>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</si>
  <si>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</si>
  <si>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</si>
  <si>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</si>
  <si>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</si>
  <si>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</si>
  <si>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</si>
  <si>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</si>
  <si>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</si>
  <si>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</si>
  <si>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</si>
  <si>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</si>
  <si>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</si>
  <si>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</si>
  <si>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</si>
  <si>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</si>
  <si>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</si>
  <si>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</si>
  <si>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</si>
  <si>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</si>
  <si>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</si>
  <si>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</si>
  <si>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</si>
  <si>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</si>
  <si>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</si>
  <si>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</si>
  <si>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</si>
  <si>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</si>
  <si>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</si>
  <si>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</si>
  <si>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</si>
  <si>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</si>
  <si>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</si>
  <si>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</si>
  <si>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</si>
  <si>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</si>
  <si>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</si>
  <si>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</si>
  <si>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</si>
  <si>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</si>
  <si>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</si>
  <si>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</si>
  <si>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</si>
  <si>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</si>
  <si>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</si>
  <si>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</si>
  <si>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</si>
  <si>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</si>
  <si>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</si>
  <si>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</si>
  <si>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</si>
  <si>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</si>
  <si>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</si>
  <si>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</si>
  <si>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</si>
  <si>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</si>
  <si>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</si>
  <si>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</si>
  <si>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</si>
  <si>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</si>
  <si>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</si>
  <si>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</si>
  <si>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</si>
  <si>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</si>
  <si>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</si>
  <si>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</si>
  <si>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</si>
  <si>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</si>
  <si>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</si>
  <si>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</si>
  <si>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</si>
  <si>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</si>
  <si>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</si>
  <si>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</si>
  <si>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</si>
  <si>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</si>
  <si>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</si>
  <si>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</si>
  <si>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</si>
  <si>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</si>
  <si>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</si>
  <si>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</si>
  <si>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</si>
  <si>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</si>
  <si>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</si>
  <si>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</si>
  <si>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</si>
  <si>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</si>
  <si>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</si>
  <si>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</si>
  <si>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</si>
  <si>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</si>
  <si>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</si>
  <si>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</si>
  <si>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</si>
  <si>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</si>
  <si>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</si>
  <si>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</si>
  <si>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</si>
  <si>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</si>
  <si>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</si>
  <si>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</si>
  <si>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</si>
  <si>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</si>
  <si>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</si>
  <si>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</si>
  <si>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</si>
  <si>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</si>
  <si>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</si>
  <si>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</si>
  <si>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</si>
  <si>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</si>
  <si>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</si>
  <si>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</si>
  <si>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</si>
  <si>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</si>
  <si>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</si>
  <si>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</si>
  <si>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</si>
  <si>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</si>
  <si>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</si>
  <si>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</si>
  <si>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</si>
  <si>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</si>
  <si>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</si>
  <si>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</si>
  <si>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</si>
  <si>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</si>
  <si>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</si>
  <si>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</si>
  <si>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</si>
  <si>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</si>
  <si>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</si>
  <si>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</si>
  <si>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</si>
  <si>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</si>
  <si>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</si>
  <si>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</si>
  <si>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</si>
  <si>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</si>
  <si>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</si>
  <si>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</si>
  <si>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</si>
  <si>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</si>
  <si>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</si>
  <si>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</si>
  <si>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</si>
  <si>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</si>
  <si>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</si>
  <si>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</si>
  <si>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</si>
  <si>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</si>
  <si>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</si>
  <si>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</si>
  <si>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</si>
  <si>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</si>
  <si>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</si>
  <si>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</si>
  <si>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</si>
  <si>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</si>
  <si>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</si>
  <si>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</si>
  <si>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</si>
  <si>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</si>
  <si>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</si>
  <si>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</si>
  <si>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</si>
  <si>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</si>
  <si>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</si>
  <si>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</si>
  <si>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</si>
  <si>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</si>
  <si>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</si>
  <si>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</si>
  <si>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</si>
  <si>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</si>
  <si>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</si>
  <si>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</si>
  <si>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</si>
  <si>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</si>
  <si>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</si>
  <si>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</si>
  <si>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</si>
  <si>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</si>
  <si>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</si>
  <si>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</si>
  <si>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</si>
  <si>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</si>
  <si>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</si>
  <si>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</si>
  <si>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</si>
  <si>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</si>
  <si>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</si>
  <si>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</si>
  <si>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</si>
  <si>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</si>
  <si>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</si>
  <si>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</si>
  <si>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</si>
  <si>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</si>
  <si>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</si>
  <si>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</si>
  <si>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</si>
  <si>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</si>
  <si>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</si>
  <si>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</si>
  <si>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</si>
  <si>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</si>
  <si>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</si>
  <si>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</si>
  <si>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</si>
  <si>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</si>
  <si>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</si>
  <si>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</si>
  <si>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</si>
  <si>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</si>
  <si>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</si>
  <si>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</si>
  <si>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</si>
  <si>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</si>
  <si>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</si>
  <si>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</si>
  <si>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</si>
  <si>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</si>
  <si>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</si>
  <si>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</si>
  <si>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</si>
  <si>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</si>
  <si>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</si>
  <si>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</si>
  <si>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</si>
  <si>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</si>
  <si>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</si>
  <si>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</si>
  <si>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</si>
  <si>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</si>
  <si>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</si>
  <si>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</si>
  <si>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</si>
  <si>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</si>
  <si>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</si>
  <si>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</si>
  <si>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</si>
  <si>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</si>
  <si>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</si>
  <si>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</si>
  <si>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</si>
  <si>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</si>
  <si>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</si>
  <si>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</si>
  <si>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</si>
  <si>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</si>
  <si>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</si>
  <si>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</si>
  <si>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</si>
  <si>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</si>
  <si>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</si>
  <si>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</si>
  <si>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</si>
  <si>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</si>
  <si>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</si>
  <si>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</si>
  <si>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</si>
  <si>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</si>
  <si>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</si>
  <si>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</si>
  <si>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</si>
  <si>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</si>
  <si>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</si>
  <si>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</si>
  <si>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</si>
  <si>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</si>
  <si>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</si>
  <si>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</si>
  <si>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</si>
  <si>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</si>
  <si>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</si>
  <si>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</si>
  <si>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</si>
  <si>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</si>
  <si>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</si>
  <si>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</si>
  <si>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</si>
  <si>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</si>
  <si>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</si>
  <si>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</si>
  <si>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</si>
  <si>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</si>
  <si>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</si>
  <si>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</si>
  <si>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</si>
  <si>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</si>
  <si>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</si>
  <si>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</si>
  <si>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</si>
  <si>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</si>
  <si>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</si>
  <si>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</si>
  <si>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</si>
  <si>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</si>
  <si>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</si>
  <si>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</si>
  <si>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</si>
  <si>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</si>
  <si>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</si>
  <si>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</si>
  <si>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</si>
  <si>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</si>
  <si>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</si>
  <si>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</si>
  <si>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</si>
  <si>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</si>
  <si>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</si>
  <si>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</si>
  <si>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</si>
  <si>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</si>
  <si>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</si>
  <si>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</si>
  <si>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</si>
  <si>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</si>
  <si>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</si>
  <si>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</si>
  <si>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</si>
  <si>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</si>
  <si>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</si>
  <si>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</si>
  <si>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</si>
  <si>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</si>
  <si>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</si>
  <si>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</si>
  <si>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</si>
  <si>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</si>
  <si>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</si>
  <si>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</si>
  <si>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</si>
  <si>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</si>
  <si>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</si>
  <si>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</si>
  <si>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</si>
  <si>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</si>
  <si>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</si>
  <si>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</si>
  <si>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</si>
  <si>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</si>
  <si>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</si>
  <si>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</si>
  <si>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</si>
  <si>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</si>
  <si>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</si>
  <si>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</si>
  <si>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</si>
  <si>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</si>
  <si>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</si>
  <si>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</si>
  <si>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</si>
  <si>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</si>
  <si>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</si>
  <si>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</si>
  <si>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</si>
  <si>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</si>
  <si>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</si>
  <si>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</si>
  <si>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</si>
  <si>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</si>
  <si>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</si>
  <si>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</si>
  <si>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</si>
  <si>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</si>
  <si>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</si>
  <si>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</si>
  <si>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</si>
  <si>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</si>
  <si>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</si>
  <si>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</si>
  <si>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</si>
  <si>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</si>
  <si>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</si>
  <si>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</si>
  <si>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</si>
  <si>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</si>
  <si>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</si>
  <si>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</si>
  <si>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</si>
  <si>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</si>
  <si>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</si>
  <si>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</si>
  <si>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</si>
  <si>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</si>
  <si>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</si>
  <si>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</si>
  <si>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</si>
  <si>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</si>
  <si>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</si>
  <si>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</si>
  <si>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</si>
  <si>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</si>
  <si>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</si>
  <si>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</si>
  <si>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</si>
  <si>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</si>
  <si>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</si>
  <si>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</si>
  <si>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</si>
  <si>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</si>
  <si>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</si>
  <si>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</si>
  <si>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</si>
  <si>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</si>
  <si>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</si>
  <si>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</si>
  <si>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</si>
  <si>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</si>
  <si>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</si>
  <si>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</si>
  <si>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</si>
  <si>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</si>
  <si>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</si>
  <si>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</si>
  <si>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</si>
  <si>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</si>
  <si>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</si>
  <si>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</si>
  <si>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</si>
  <si>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</si>
  <si>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</si>
  <si>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</si>
  <si>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</si>
  <si>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</si>
  <si>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</si>
  <si>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</si>
  <si>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</si>
  <si>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</si>
  <si>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</si>
  <si>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</si>
  <si>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</si>
  <si>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</si>
  <si>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</si>
  <si>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</si>
  <si>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</si>
  <si>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</si>
  <si>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</si>
  <si>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</si>
  <si>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</si>
  <si>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</si>
  <si>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</si>
  <si>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</si>
  <si>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</si>
  <si>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</si>
  <si>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</si>
  <si>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</si>
  <si>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</si>
  <si>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</si>
  <si>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</si>
  <si>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</si>
  <si>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</si>
  <si>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</si>
  <si>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</si>
  <si>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</si>
  <si>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</si>
  <si>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</si>
  <si>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</si>
  <si>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</si>
  <si>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</si>
  <si>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</si>
  <si>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</si>
  <si>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</si>
  <si>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</si>
  <si>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</si>
  <si>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</si>
  <si>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</si>
  <si>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</si>
  <si>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</si>
  <si>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</si>
  <si>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</si>
  <si>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</si>
  <si>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</si>
  <si>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</si>
  <si>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</si>
  <si>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</si>
  <si>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</si>
  <si>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</si>
  <si>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</si>
  <si>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</si>
  <si>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</si>
  <si>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</si>
  <si>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</si>
  <si>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</si>
  <si>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</si>
  <si>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</si>
  <si>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</si>
  <si>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</si>
  <si>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</si>
  <si>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</si>
  <si>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</si>
  <si>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</si>
  <si>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</si>
  <si>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</si>
  <si>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</si>
  <si>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</si>
  <si>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</si>
  <si>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</si>
  <si>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</si>
  <si>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</si>
  <si>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</si>
  <si>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</si>
  <si>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</si>
  <si>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</si>
  <si>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</si>
  <si>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</si>
  <si>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</si>
  <si>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</si>
  <si>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</si>
  <si>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</si>
  <si>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</si>
  <si>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</si>
  <si>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</si>
  <si>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</si>
  <si>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</si>
  <si>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</si>
  <si>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</si>
  <si>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</si>
  <si>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</si>
  <si>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</si>
  <si>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</si>
  <si>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</si>
  <si>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</si>
  <si>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</si>
  <si>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</si>
  <si>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</si>
  <si>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</si>
  <si>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</si>
  <si>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</si>
  <si>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</si>
  <si>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</si>
  <si>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</si>
  <si>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</si>
  <si>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</si>
  <si>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</si>
  <si>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</si>
  <si>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</si>
  <si>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</si>
  <si>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</si>
  <si>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</si>
  <si>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</si>
  <si>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</si>
  <si>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</si>
  <si>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</si>
  <si>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</si>
  <si>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</si>
  <si>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</si>
  <si>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</si>
  <si>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</si>
  <si>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</si>
  <si>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</si>
  <si>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</si>
  <si>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</si>
  <si>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</si>
  <si>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</si>
  <si>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</si>
  <si>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</si>
  <si>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</si>
  <si>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</si>
  <si>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</si>
  <si>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</si>
  <si>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</si>
  <si>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</si>
  <si>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</si>
  <si>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</si>
  <si>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</si>
  <si>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</si>
  <si>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</si>
  <si>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</si>
  <si>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</si>
  <si>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</si>
  <si>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</si>
  <si>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</si>
  <si>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</si>
  <si>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</si>
  <si>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</si>
  <si>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</si>
  <si>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</si>
  <si>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</si>
  <si>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</si>
  <si>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</si>
  <si>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</si>
  <si>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</si>
  <si>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</si>
  <si>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</si>
  <si>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</si>
  <si>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</si>
  <si>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</si>
  <si>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</si>
  <si>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</si>
  <si>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</si>
  <si>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</si>
  <si>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</si>
  <si>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</si>
  <si>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</si>
  <si>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</si>
  <si>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</si>
  <si>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</si>
  <si>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</si>
  <si>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</si>
  <si>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</si>
  <si>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</si>
  <si>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</si>
  <si>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</si>
  <si>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</si>
  <si>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</si>
  <si>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</si>
  <si>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</si>
  <si>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</si>
  <si>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</si>
  <si>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</si>
  <si>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</si>
  <si>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</si>
  <si>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</si>
  <si>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</si>
  <si>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</si>
  <si>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</si>
  <si>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</si>
  <si>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</si>
  <si>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</si>
  <si>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</si>
  <si>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</si>
  <si>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</si>
  <si>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</si>
  <si>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</si>
  <si>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</si>
  <si>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</si>
  <si>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</si>
  <si>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</si>
  <si>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</si>
  <si>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</si>
  <si>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</si>
  <si>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</si>
  <si>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</si>
  <si>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</si>
  <si>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</si>
  <si>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</si>
  <si>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</si>
  <si>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</si>
  <si>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</si>
  <si>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</si>
  <si>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</si>
  <si>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</si>
  <si>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</si>
  <si>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</si>
  <si>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</si>
  <si>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</si>
  <si>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</si>
  <si>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</si>
  <si>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</si>
  <si>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</si>
  <si>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</si>
  <si>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</si>
  <si>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</si>
  <si>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</si>
  <si>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</si>
  <si>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</si>
  <si>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</si>
  <si>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</si>
  <si>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</si>
  <si>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</si>
  <si>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</si>
  <si>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</si>
  <si>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</si>
  <si>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</si>
  <si>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</si>
  <si>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</si>
  <si>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</si>
  <si>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</si>
  <si>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</si>
  <si>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</si>
  <si>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</si>
  <si>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</si>
  <si>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</si>
  <si>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</si>
  <si>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</si>
  <si>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</si>
  <si>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</si>
  <si>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</si>
  <si>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</si>
  <si>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</si>
  <si>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</si>
  <si>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</si>
  <si>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</si>
  <si>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</si>
  <si>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</si>
  <si>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</si>
  <si>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</si>
  <si>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</si>
  <si>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</si>
  <si>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</si>
  <si>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</si>
  <si>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</si>
  <si>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</si>
  <si>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</si>
  <si>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</si>
  <si>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</si>
  <si>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</si>
  <si>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</si>
  <si>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</si>
  <si>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</si>
  <si>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</si>
  <si>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</si>
  <si>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</si>
  <si>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</si>
  <si>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</si>
  <si>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</si>
  <si>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</si>
  <si>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</si>
  <si>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</si>
  <si>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</si>
  <si>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</si>
  <si>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</si>
  <si>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</si>
  <si>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</si>
  <si>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</si>
  <si>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</si>
  <si>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</si>
  <si>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</si>
  <si>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</si>
  <si>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</si>
  <si>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</si>
  <si>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</si>
  <si>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</si>
  <si>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</si>
  <si>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</si>
  <si>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</si>
  <si>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</si>
  <si>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</si>
  <si>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</si>
  <si>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</si>
  <si>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</si>
  <si>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</si>
  <si>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</si>
  <si>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</si>
  <si>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</si>
  <si>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</si>
  <si>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</si>
  <si>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</si>
  <si>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</si>
  <si>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</si>
  <si>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</si>
  <si>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</si>
  <si>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</si>
  <si>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</si>
  <si>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</si>
  <si>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</si>
  <si>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</si>
  <si>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</si>
  <si>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</si>
  <si>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</si>
  <si>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</si>
  <si>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</si>
  <si>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</si>
  <si>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</si>
  <si>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</si>
  <si>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</si>
  <si>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</si>
  <si>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</si>
  <si>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</si>
  <si>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</si>
  <si>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</si>
  <si>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</si>
  <si>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</si>
  <si>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</si>
  <si>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</si>
  <si>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</si>
  <si>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</si>
  <si>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</si>
  <si>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</si>
  <si>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</si>
  <si>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</si>
  <si>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</si>
  <si>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</si>
  <si>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</si>
  <si>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</si>
  <si>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</si>
  <si>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</si>
  <si>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</si>
  <si>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</si>
  <si>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</si>
  <si>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</si>
  <si>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</si>
  <si>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</si>
  <si>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</si>
  <si>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</si>
  <si>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</si>
  <si>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</si>
  <si>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</si>
  <si>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</si>
  <si>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</si>
  <si>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</si>
  <si>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</si>
  <si>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</si>
  <si>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</si>
  <si>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</si>
  <si>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</si>
  <si>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</si>
  <si>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</si>
  <si>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</si>
  <si>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</si>
  <si>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</si>
  <si>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</si>
  <si>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</si>
  <si>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</si>
  <si>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</si>
  <si>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</si>
  <si>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</si>
  <si>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</si>
  <si>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</si>
  <si>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</si>
  <si>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</si>
  <si>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</si>
  <si>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</si>
  <si>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</si>
  <si>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</si>
  <si>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</si>
  <si>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</si>
  <si>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</si>
  <si>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</si>
  <si>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</si>
  <si>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</si>
  <si>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</si>
  <si>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</si>
  <si>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</si>
  <si>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</si>
  <si>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</si>
  <si>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</si>
  <si>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</si>
  <si>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</si>
  <si>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</si>
  <si>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</si>
  <si>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</si>
  <si>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</si>
  <si>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</si>
  <si>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</si>
  <si>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</si>
  <si>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</si>
  <si>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</si>
  <si>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</si>
  <si>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</si>
  <si>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</si>
  <si>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</si>
  <si>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</si>
  <si>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</si>
  <si>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</si>
  <si>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</si>
  <si>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</si>
  <si>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</si>
  <si>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</si>
  <si>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</si>
  <si>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</si>
  <si>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</si>
  <si>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</si>
  <si>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</si>
  <si>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</si>
  <si>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</si>
  <si>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</si>
  <si>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</si>
  <si>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</si>
  <si>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</si>
  <si>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</si>
  <si>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</si>
  <si>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</si>
  <si>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</si>
  <si>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</si>
  <si>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</si>
  <si>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</si>
  <si>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</si>
  <si>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</si>
  <si>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</si>
  <si>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</si>
  <si>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</si>
  <si>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</si>
  <si>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</si>
  <si>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</si>
  <si>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</si>
  <si>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</si>
  <si>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</si>
  <si>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</si>
  <si>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</si>
  <si>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</si>
  <si>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</si>
  <si>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</si>
  <si>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</si>
  <si>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</si>
  <si>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</si>
  <si>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</si>
  <si>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</si>
  <si>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</si>
  <si>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</si>
  <si>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</si>
  <si>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</si>
  <si>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</si>
  <si>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</si>
  <si>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</si>
  <si>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</si>
  <si>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</si>
  <si>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</si>
  <si>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</si>
  <si>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</si>
  <si>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</si>
  <si>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</si>
  <si>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</si>
  <si>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</si>
  <si>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</si>
  <si>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</si>
  <si>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</si>
  <si>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</si>
  <si>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</si>
  <si>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</si>
  <si>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</si>
  <si>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</si>
  <si>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</si>
  <si>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</si>
  <si>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</si>
  <si>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</si>
  <si>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</si>
  <si>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</si>
  <si>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</si>
  <si>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</si>
  <si>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</si>
  <si>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</si>
  <si>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</si>
  <si>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</si>
  <si>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</si>
  <si>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</si>
  <si>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</si>
  <si>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</si>
  <si>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</si>
  <si>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</si>
  <si>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</si>
  <si>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</si>
  <si>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</si>
  <si>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</si>
  <si>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</si>
  <si>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</si>
  <si>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</si>
  <si>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</si>
  <si>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</si>
  <si>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</si>
  <si>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</si>
  <si>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</si>
  <si>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</si>
  <si>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</si>
  <si>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</si>
  <si>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</si>
  <si>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</si>
  <si>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</si>
  <si>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</si>
  <si>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</si>
  <si>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</si>
  <si>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</si>
  <si>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</si>
  <si>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</si>
  <si>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</si>
  <si>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</si>
  <si>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</si>
  <si>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</si>
  <si>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</si>
  <si>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</si>
  <si>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</si>
  <si>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</si>
  <si>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</si>
  <si>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</si>
  <si>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</si>
  <si>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</si>
  <si>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</si>
  <si>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</si>
  <si>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</si>
  <si>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</si>
  <si>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</si>
  <si>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</si>
  <si>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</si>
  <si>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</si>
  <si>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</si>
  <si>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</si>
  <si>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</si>
  <si>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</si>
  <si>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</si>
  <si>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</si>
  <si>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</si>
  <si>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</si>
  <si>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</si>
  <si>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</si>
  <si>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</si>
  <si>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</si>
  <si>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</si>
  <si>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</si>
  <si>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</si>
  <si>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</si>
  <si>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</si>
  <si>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</si>
  <si>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</si>
  <si>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</si>
  <si>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</si>
  <si>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</si>
  <si>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</si>
  <si>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</si>
  <si>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</si>
  <si>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</si>
  <si>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</si>
  <si>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</si>
  <si>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</si>
  <si>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</si>
  <si>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</si>
  <si>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</si>
  <si>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</si>
  <si>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</si>
  <si>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</si>
  <si>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</si>
  <si>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</si>
  <si>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</si>
  <si>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</si>
  <si>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</si>
  <si>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</si>
  <si>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</si>
  <si>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</si>
  <si>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</si>
  <si>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</si>
  <si>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</si>
  <si>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</si>
  <si>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</si>
  <si>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</si>
  <si>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</si>
  <si>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</si>
  <si>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</si>
  <si>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</si>
  <si>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</si>
  <si>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</si>
  <si>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</si>
  <si>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</si>
  <si>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</si>
  <si>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</si>
  <si>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</si>
  <si>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</si>
  <si>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</si>
  <si>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</si>
  <si>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</si>
  <si>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</si>
  <si>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</si>
  <si>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</si>
  <si>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</si>
  <si>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</si>
  <si>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</si>
  <si>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</si>
  <si>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</si>
  <si>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</si>
  <si>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</si>
  <si>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</si>
  <si>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</si>
  <si>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</si>
  <si>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</si>
  <si>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</si>
  <si>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</si>
  <si>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</si>
  <si>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</si>
  <si>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</si>
  <si>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</si>
  <si>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</si>
  <si>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</si>
  <si>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</si>
  <si>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</si>
  <si>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</si>
  <si>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</si>
  <si>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</si>
  <si>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</si>
  <si>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</si>
  <si>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</si>
  <si>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</si>
  <si>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</si>
  <si>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</si>
  <si>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</si>
  <si>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</si>
  <si>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</si>
  <si>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</si>
  <si>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</si>
  <si>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</si>
  <si>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</si>
  <si>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</si>
  <si>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</si>
  <si>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</si>
  <si>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</si>
  <si>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</si>
  <si>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</si>
  <si>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</si>
  <si>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</si>
  <si>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</si>
  <si>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</si>
  <si>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</si>
  <si>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</si>
  <si>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</si>
  <si>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</si>
  <si>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</si>
  <si>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</si>
  <si>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</si>
  <si>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</si>
  <si>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</si>
  <si>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</si>
  <si>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</si>
  <si>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</si>
  <si>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</si>
  <si>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</si>
  <si>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</si>
  <si>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</si>
  <si>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</si>
  <si>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EXTREMADURA</t>
  </si>
  <si>
    <t>Provincias</t>
  </si>
  <si>
    <t>BADAJOZ</t>
  </si>
  <si>
    <t>Resumenes por Partidos Judiciales</t>
  </si>
  <si>
    <t>CASTUERA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</si>
</sst>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2woddJR5A8yWRb6isGOGzYt2vF0u2a23FvD+L93tTgMvnaO3xXB506PeYad5paa3yc1PGmCOTgLV8IAkj1oRw==" saltValue="pU2MJbaUYiTqe8HTrWie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EXTREMADURA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1</v>
      </c>
      <c r="F10" s="240">
        <f>IF(ISNUMBER(Datos!K10),Datos!K10," - ")</f>
        <v>3</v>
      </c>
      <c r="G10" s="1390" t="str">
        <f>IF(Datos!E10&lt;&gt;"",Datos!E10,Datos!D10)</f>
        <v>37</v>
      </c>
      <c r="H10" s="241">
        <f>IF(ISNUMBER(Datos!L10),Datos!L10," - ")</f>
        <v>0</v>
      </c>
      <c r="I10" s="1400" t="str">
        <f>IF(ISNUMBER(Datos!AS10/Datos!BM10),Datos!AS10/Datos!BM10," - ")</f>
        <v xml:space="preserve"> - </v>
      </c>
      <c r="J10" s="1401">
        <f>IF(ISNUMBER(Datos!BY10/Datos!CN10),Datos!BY10/Datos!CN10," - ")</f>
        <v>0</v>
      </c>
      <c r="K10" s="244">
        <f t="shared" ref="K10:K13" si="1">IF(ISNUMBER((E10-F10)/C10),(E10-F10)/C10," - ")</f>
        <v>-1</v>
      </c>
      <c r="L10" s="1402">
        <f>IF(ISNUMBER(NºAsuntos!I10/NºAsuntos!G10),(NºAsuntos!I10/NºAsuntos!G10)*11," - ")</f>
        <v>0</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11.29668049792531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1</v>
      </c>
      <c r="F14" s="1409">
        <f>SUBTOTAL(9,F9:F13)</f>
        <v>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209</v>
      </c>
      <c r="D17" s="239">
        <f>IF(ISNUMBER(IF(D_I="SI",Datos!I17,Datos!I17+Datos!AC17)),IF(D_I="SI",Datos!I17,Datos!I17+Datos!AC17)," - ")</f>
        <v>230</v>
      </c>
      <c r="E17" s="240">
        <f>IF(ISNUMBER(IF(D_I="SI",Datos!J17,Datos!J17+Datos!AD17)),IF(D_I="SI",Datos!J17,Datos!J17+Datos!AD17)," - ")</f>
        <v>767</v>
      </c>
      <c r="F17" s="240">
        <f>IF(ISNUMBER(IF(D_I="SI",Datos!K17,Datos!K17+Datos!AE17)),IF(D_I="SI",Datos!K17,Datos!K17+Datos!AE17)," - ")</f>
        <v>716</v>
      </c>
      <c r="G17" s="1390" t="str">
        <f>IF(Datos!E17&lt;&gt;"",Datos!E17,Datos!D17)</f>
        <v>04</v>
      </c>
      <c r="H17" s="241">
        <f>IF(ISNUMBER(IF(D_I="SI",Datos!L17,Datos!L17+Datos!AF17)),IF(D_I="SI",Datos!L17,Datos!L17+Datos!AF17)," - ")</f>
        <v>260</v>
      </c>
      <c r="I17" s="1400" t="str">
        <f>IF(ISNUMBER(Datos!AS17/Datos!BM17),Datos!AS17/Datos!BM17," - ")</f>
        <v xml:space="preserve"> - </v>
      </c>
      <c r="J17" s="1401">
        <f>IF(ISNUMBER(Datos!BY17/Datos!CN17),Datos!BY17/Datos!CN17," - ")</f>
        <v>0</v>
      </c>
      <c r="K17" s="244">
        <f t="shared" si="3"/>
        <v>0.24401913875598086</v>
      </c>
      <c r="L17" s="1402">
        <f>IF(ISNUMBER(NºAsuntos!I17/NºAsuntos!G17),(NºAsuntos!I17/NºAsuntos!G17)*11," - ")</f>
        <v>3.994413407821229</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90</v>
      </c>
      <c r="F18" s="240">
        <f>IF(ISNUMBER(IF(D_I="SI",Datos!K18,Datos!K18+Datos!AE18)),IF(D_I="SI",Datos!K18,Datos!K18+Datos!AE18)," - ")</f>
        <v>82</v>
      </c>
      <c r="G18" s="1390" t="str">
        <f>IF(Datos!E18&lt;&gt;"",Datos!E18,Datos!D18)</f>
        <v>37</v>
      </c>
      <c r="H18" s="241">
        <f>IF(ISNUMBER(IF(D_I="SI",Datos!L18,Datos!L18+Datos!AF18)),IF(D_I="SI",Datos!L18,Datos!L18+Datos!AF18)," - ")</f>
        <v>32</v>
      </c>
      <c r="I18" s="1400" t="str">
        <f>IF(ISNUMBER(Datos!AS18/Datos!BM18),Datos!AS18/Datos!BM18," - ")</f>
        <v xml:space="preserve"> - </v>
      </c>
      <c r="J18" s="1401" t="str">
        <f>IF(ISNUMBER((Datos!BY18+Datos!BZ18)/Datos!CN18),(Datos!BY18+Datos!BZ18)/Datos!CN18," - ")</f>
        <v xml:space="preserve"> - </v>
      </c>
      <c r="K18" s="244">
        <f t="shared" si="3"/>
        <v>0.33333333333333331</v>
      </c>
      <c r="L18" s="1402">
        <f>IF(ISNUMBER(NºAsuntos!I18/NºAsuntos!G18),(NºAsuntos!I18/NºAsuntos!G18)*11," - ")</f>
        <v>4.2926829268292686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233</v>
      </c>
      <c r="D23" s="1407">
        <f>SUBTOTAL(9,D16:D22)</f>
        <v>254</v>
      </c>
      <c r="E23" s="1408">
        <f>SUBTOTAL(9,E16:E22)</f>
        <v>857</v>
      </c>
      <c r="F23" s="1408">
        <f>SUBTOTAL(9,F16:F22)</f>
        <v>798</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235</v>
      </c>
      <c r="D31" s="1435">
        <f>SUBTOTAL(9,D9:D30)</f>
        <v>256</v>
      </c>
      <c r="E31" s="1436">
        <f>SUBTOTAL(9,E9:E30)</f>
        <v>858</v>
      </c>
      <c r="F31" s="1436">
        <f>SUBTOTAL(9,F9:F30)</f>
        <v>801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rhSH4cfm70DAWdWYOx0w3xyVmEwTb7C0jKn+26gqmPRNsCjjm23b1AefYPXHovJIIfUs4ZMuzPuhaaBWtjIjfw==" saltValue="Ay/zkIZTgXQ/btnig5qDiA=="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Zhd54g+IeLW8uy4l/NeO1SAJKKQ05pMXOTf8QTS918Qj+p26VR7WVeXq+DxTkB4M5PE1liqo7572J4yJZZ965Q==" saltValue="D0uXTAMel9MaEw8jB4CsI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1</v>
      </c>
      <c r="K10" s="194">
        <v>3</v>
      </c>
      <c r="L10" s="194">
        <v>0</v>
      </c>
      <c r="M10" s="194">
        <v>0</v>
      </c>
      <c r="N10" s="194">
        <v>0</v>
      </c>
      <c r="O10" s="194">
        <v>0</v>
      </c>
      <c r="P10" s="194">
        <v>0</v>
      </c>
      <c r="Q10" s="194">
        <v>0</v>
      </c>
      <c r="R10" s="194">
        <v>0</v>
      </c>
      <c r="S10" s="194">
        <v>1</v>
      </c>
      <c r="T10" s="194">
        <v>1</v>
      </c>
      <c r="U10" s="194">
        <v>0</v>
      </c>
      <c r="V10" s="194">
        <v>2</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v>
      </c>
      <c r="AZ10" s="139">
        <f t="shared" si="0"/>
        <v>1</v>
      </c>
      <c r="BA10" s="139">
        <f t="shared" si="0"/>
        <v>0</v>
      </c>
      <c r="BB10" s="139">
        <f t="shared" si="0"/>
        <v>2</v>
      </c>
      <c r="BC10" s="135">
        <f t="shared" si="0"/>
        <v>0</v>
      </c>
      <c r="BD10" s="136">
        <f>IF(ISNUMBER(BA10/AZ10),BA10/AZ10," - ")</f>
        <v>0</v>
      </c>
      <c r="BE10" s="137" t="str">
        <f>IF(ISNUMBER(BB10/BA10),BB10/BA10, " - ")</f>
        <v xml:space="preserve"> - </v>
      </c>
      <c r="BF10" s="137" t="str">
        <f>IF(ISNUMBER(BC10/BA10),BC10/BA10, " - ")</f>
        <v xml:space="preserve"> - </v>
      </c>
      <c r="BG10" s="209" t="str">
        <f>IF(ISNUMBER((AY10+AZ10)/BA10),(AY10+AZ10)/BA10," - ")</f>
        <v xml:space="preserve"> - </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372</v>
      </c>
      <c r="J12" s="196">
        <v>555</v>
      </c>
      <c r="K12" s="196">
        <v>448</v>
      </c>
      <c r="L12" s="196">
        <v>435</v>
      </c>
      <c r="M12" s="196">
        <v>138</v>
      </c>
      <c r="N12" s="196">
        <v>131</v>
      </c>
      <c r="O12" s="194">
        <v>159</v>
      </c>
      <c r="P12" s="196">
        <v>160</v>
      </c>
      <c r="Q12" s="196">
        <v>41</v>
      </c>
      <c r="R12" s="196">
        <v>726</v>
      </c>
      <c r="S12" s="196">
        <v>335</v>
      </c>
      <c r="T12" s="196">
        <v>523</v>
      </c>
      <c r="U12" s="196">
        <v>411</v>
      </c>
      <c r="V12" s="196">
        <v>372</v>
      </c>
      <c r="W12" s="196">
        <v>104</v>
      </c>
      <c r="X12" s="202">
        <v>159</v>
      </c>
      <c r="Y12" s="204">
        <v>42</v>
      </c>
      <c r="Z12" s="194">
        <v>52</v>
      </c>
      <c r="AA12" s="194">
        <v>34</v>
      </c>
      <c r="AB12" s="194">
        <v>60</v>
      </c>
      <c r="AC12" s="196">
        <v>0</v>
      </c>
      <c r="AD12" s="196">
        <v>0</v>
      </c>
      <c r="AE12" s="196">
        <v>0</v>
      </c>
      <c r="AF12" s="202">
        <v>0</v>
      </c>
      <c r="AG12" s="215">
        <v>43</v>
      </c>
      <c r="AH12" s="196">
        <v>51</v>
      </c>
      <c r="AI12" s="196">
        <v>52</v>
      </c>
      <c r="AJ12" s="216">
        <v>42</v>
      </c>
      <c r="AK12" s="195">
        <v>0</v>
      </c>
      <c r="AL12" s="196">
        <v>0</v>
      </c>
      <c r="AM12" s="196">
        <v>0</v>
      </c>
      <c r="AN12" s="202">
        <v>0</v>
      </c>
      <c r="AO12" s="283">
        <v>2</v>
      </c>
      <c r="AP12" s="168">
        <v>2</v>
      </c>
      <c r="AQ12" s="168">
        <v>2</v>
      </c>
      <c r="AR12" s="167">
        <v>2</v>
      </c>
      <c r="AS12" s="381" t="s">
        <v>1075</v>
      </c>
      <c r="AT12" s="216"/>
      <c r="AU12" s="215"/>
      <c r="AV12" s="216"/>
      <c r="AW12" s="215"/>
      <c r="AX12" s="216"/>
      <c r="AY12" s="136">
        <f t="shared" si="1"/>
        <v>378</v>
      </c>
      <c r="AZ12" s="137">
        <f t="shared" si="1"/>
        <v>574</v>
      </c>
      <c r="BA12" s="137">
        <f t="shared" si="1"/>
        <v>463</v>
      </c>
      <c r="BB12" s="137">
        <f t="shared" si="1"/>
        <v>414</v>
      </c>
      <c r="BC12" s="135">
        <f>IF(ISNUMBER(X12),X12," - ")</f>
        <v>159</v>
      </c>
      <c r="BD12" s="136">
        <f t="shared" si="2"/>
        <v>0.80662020905923348</v>
      </c>
      <c r="BE12" s="137">
        <f t="shared" si="3"/>
        <v>0.89416846652267823</v>
      </c>
      <c r="BF12" s="137">
        <f t="shared" si="4"/>
        <v>0.3434125269978402</v>
      </c>
      <c r="BG12" s="209">
        <f t="shared" si="5"/>
        <v>2.0561555075593954</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374</v>
      </c>
      <c r="J14" s="197">
        <f t="shared" si="7"/>
        <v>556</v>
      </c>
      <c r="K14" s="197">
        <f t="shared" si="7"/>
        <v>451</v>
      </c>
      <c r="L14" s="197">
        <f t="shared" si="7"/>
        <v>435</v>
      </c>
      <c r="M14" s="197">
        <f t="shared" si="7"/>
        <v>138</v>
      </c>
      <c r="N14" s="197">
        <f t="shared" si="7"/>
        <v>131</v>
      </c>
      <c r="O14" s="197">
        <f t="shared" si="7"/>
        <v>159</v>
      </c>
      <c r="P14" s="197">
        <f t="shared" si="7"/>
        <v>160</v>
      </c>
      <c r="Q14" s="197">
        <f t="shared" si="7"/>
        <v>41</v>
      </c>
      <c r="R14" s="197">
        <f t="shared" si="7"/>
        <v>726</v>
      </c>
      <c r="S14" s="197">
        <f t="shared" si="7"/>
        <v>336</v>
      </c>
      <c r="T14" s="197">
        <f t="shared" si="7"/>
        <v>524</v>
      </c>
      <c r="U14" s="197">
        <f t="shared" si="7"/>
        <v>411</v>
      </c>
      <c r="V14" s="197">
        <f t="shared" si="7"/>
        <v>374</v>
      </c>
      <c r="W14" s="197">
        <f t="shared" si="7"/>
        <v>104</v>
      </c>
      <c r="X14" s="197">
        <f t="shared" si="7"/>
        <v>159</v>
      </c>
      <c r="Y14" s="197">
        <f t="shared" si="7"/>
        <v>42</v>
      </c>
      <c r="Z14" s="197">
        <f t="shared" si="7"/>
        <v>52</v>
      </c>
      <c r="AA14" s="197">
        <f t="shared" si="7"/>
        <v>34</v>
      </c>
      <c r="AB14" s="197">
        <f t="shared" si="7"/>
        <v>60</v>
      </c>
      <c r="AC14" s="197">
        <f t="shared" si="7"/>
        <v>0</v>
      </c>
      <c r="AD14" s="197">
        <f t="shared" si="7"/>
        <v>0</v>
      </c>
      <c r="AE14" s="197">
        <f t="shared" si="7"/>
        <v>0</v>
      </c>
      <c r="AF14" s="197">
        <f>SUBTOTAL(9,AF9:AF13)</f>
        <v>0</v>
      </c>
      <c r="AG14" s="197">
        <f t="shared" ref="AG14:AT14" si="8">SUBTOTAL(9,AG8:AG13)</f>
        <v>43</v>
      </c>
      <c r="AH14" s="197">
        <f t="shared" si="8"/>
        <v>51</v>
      </c>
      <c r="AI14" s="197">
        <f t="shared" si="8"/>
        <v>52</v>
      </c>
      <c r="AJ14" s="197">
        <f t="shared" si="8"/>
        <v>42</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379</v>
      </c>
      <c r="AZ14" s="197">
        <f>SUBTOTAL(9,AZ8:AZ13)</f>
        <v>575</v>
      </c>
      <c r="BA14" s="197">
        <f>SUBTOTAL(9,BA8:BA13)</f>
        <v>463</v>
      </c>
      <c r="BB14" s="197">
        <f>SUBTOTAL(9,BB8:BB13)</f>
        <v>416</v>
      </c>
      <c r="BC14" s="197">
        <f>SUBTOTAL(9,BC8:BC13)</f>
        <v>159</v>
      </c>
      <c r="BD14" s="219">
        <f>IF(ISNUMBER(BA14/AZ14),BA14/AZ14," - ")</f>
        <v>0.80521739130434777</v>
      </c>
      <c r="BE14" s="220">
        <f>IF(ISNUMBER(BB14/BA14),BB14/BA14, " - ")</f>
        <v>0.89848812095032393</v>
      </c>
      <c r="BF14" s="220">
        <f>IF(ISNUMBER(BC14/BA14),BC14/BA14, " - ")</f>
        <v>0.3434125269978402</v>
      </c>
      <c r="BG14" s="221">
        <f>IF(ISNUMBER((AY14+AZ14)/BA14),(AY14+AZ14)/BA14," - ")</f>
        <v>2.0604751619870409</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230</v>
      </c>
      <c r="J17" s="196">
        <v>767</v>
      </c>
      <c r="K17" s="196">
        <v>716</v>
      </c>
      <c r="L17" s="196">
        <v>260</v>
      </c>
      <c r="M17" s="196">
        <v>64</v>
      </c>
      <c r="N17" s="196">
        <v>459</v>
      </c>
      <c r="O17" s="194">
        <v>2</v>
      </c>
      <c r="P17" s="196">
        <v>23</v>
      </c>
      <c r="Q17" s="196">
        <v>12</v>
      </c>
      <c r="R17" s="196">
        <v>19</v>
      </c>
      <c r="S17" s="196">
        <v>313</v>
      </c>
      <c r="T17" s="196">
        <v>658</v>
      </c>
      <c r="U17" s="196">
        <v>626</v>
      </c>
      <c r="V17" s="196">
        <v>230</v>
      </c>
      <c r="W17" s="196">
        <v>95</v>
      </c>
      <c r="X17" s="202">
        <v>332</v>
      </c>
      <c r="Y17" s="215">
        <v>0</v>
      </c>
      <c r="Z17" s="196">
        <v>0</v>
      </c>
      <c r="AA17" s="196">
        <v>0</v>
      </c>
      <c r="AB17" s="196">
        <v>0</v>
      </c>
      <c r="AC17" s="196">
        <v>0</v>
      </c>
      <c r="AD17" s="196">
        <v>0</v>
      </c>
      <c r="AE17" s="196">
        <v>0</v>
      </c>
      <c r="AF17" s="202">
        <v>0</v>
      </c>
      <c r="AG17" s="215">
        <v>0</v>
      </c>
      <c r="AH17" s="196">
        <v>0</v>
      </c>
      <c r="AI17" s="196">
        <v>0</v>
      </c>
      <c r="AJ17" s="216">
        <v>0</v>
      </c>
      <c r="AK17" s="195">
        <v>0</v>
      </c>
      <c r="AL17" s="196">
        <v>6</v>
      </c>
      <c r="AM17" s="196">
        <v>6</v>
      </c>
      <c r="AN17" s="202">
        <v>0</v>
      </c>
      <c r="AO17" s="283">
        <v>2</v>
      </c>
      <c r="AP17" s="168">
        <v>2</v>
      </c>
      <c r="AQ17" s="168">
        <v>2</v>
      </c>
      <c r="AR17" s="168">
        <v>2</v>
      </c>
      <c r="AS17" s="381" t="s">
        <v>650</v>
      </c>
      <c r="AT17" s="216"/>
      <c r="AU17" s="215"/>
      <c r="AV17" s="216"/>
      <c r="AW17" s="215"/>
      <c r="AX17" s="216"/>
      <c r="AY17" s="136">
        <f t="shared" si="10"/>
        <v>313</v>
      </c>
      <c r="AZ17" s="137">
        <f t="shared" si="10"/>
        <v>658</v>
      </c>
      <c r="BA17" s="137">
        <f t="shared" si="10"/>
        <v>626</v>
      </c>
      <c r="BB17" s="137">
        <f t="shared" si="10"/>
        <v>230</v>
      </c>
      <c r="BC17" s="135">
        <f>IF(ISNUMBER(W17),W17," - ")</f>
        <v>95</v>
      </c>
      <c r="BD17" s="136">
        <f t="shared" ref="BD17:BD22" si="12">IF(ISNUMBER(BA17/AZ17),BA17/AZ17," - ")</f>
        <v>0.95136778115501519</v>
      </c>
      <c r="BE17" s="137">
        <f t="shared" ref="BE17:BE22" si="13">IF(ISNUMBER(BB17/BA17),BB17/BA17, " - ")</f>
        <v>0.36741214057507987</v>
      </c>
      <c r="BF17" s="137">
        <f t="shared" ref="BF17:BF22" si="14">IF(ISNUMBER(BC17/BA17),BC17/BA17, " - ")</f>
        <v>0.15175718849840256</v>
      </c>
      <c r="BG17" s="209">
        <f t="shared" si="11"/>
        <v>1.5511182108626198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90</v>
      </c>
      <c r="K18" s="196">
        <v>82</v>
      </c>
      <c r="L18" s="196">
        <v>32</v>
      </c>
      <c r="M18" s="196">
        <v>12</v>
      </c>
      <c r="N18" s="196">
        <v>35</v>
      </c>
      <c r="O18" s="196">
        <v>0</v>
      </c>
      <c r="P18" s="196">
        <v>2</v>
      </c>
      <c r="Q18" s="196">
        <v>1</v>
      </c>
      <c r="R18" s="196">
        <v>2</v>
      </c>
      <c r="S18" s="196">
        <v>17</v>
      </c>
      <c r="T18" s="196">
        <v>71</v>
      </c>
      <c r="U18" s="196">
        <v>64</v>
      </c>
      <c r="V18" s="196">
        <v>24</v>
      </c>
      <c r="W18" s="196">
        <v>17</v>
      </c>
      <c r="X18" s="202">
        <v>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17</v>
      </c>
      <c r="AZ18" s="139">
        <f t="shared" si="15"/>
        <v>71</v>
      </c>
      <c r="BA18" s="139">
        <f t="shared" si="15"/>
        <v>64</v>
      </c>
      <c r="BB18" s="139">
        <f t="shared" si="15"/>
        <v>24</v>
      </c>
      <c r="BC18" s="135">
        <f>IF(ISNUMBER(W18),W18," - ")</f>
        <v>17</v>
      </c>
      <c r="BD18" s="136">
        <f>IF(ISNUMBER(BA18/AZ18),BA18/AZ18," - ")</f>
        <v>0.90140845070422537</v>
      </c>
      <c r="BE18" s="137">
        <f>IF(ISNUMBER(BB18/BA18),BB18/BA18, " - ")</f>
        <v>0.375</v>
      </c>
      <c r="BF18" s="137">
        <f>IF(ISNUMBER(BC18/BA18),BC18/BA18, " - ")</f>
        <v>0.265625</v>
      </c>
      <c r="BG18" s="209">
        <f>IF(ISNUMBER((AY18+AZ18)/BA18),(AY18+AZ18)/BA18," - ")</f>
        <v>1.375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254</v>
      </c>
      <c r="J23" s="197">
        <f t="shared" si="21"/>
        <v>857</v>
      </c>
      <c r="K23" s="197">
        <f t="shared" si="21"/>
        <v>798</v>
      </c>
      <c r="L23" s="197">
        <f t="shared" si="21"/>
        <v>292</v>
      </c>
      <c r="M23" s="197">
        <f t="shared" si="21"/>
        <v>76</v>
      </c>
      <c r="N23" s="197">
        <f t="shared" si="21"/>
        <v>494</v>
      </c>
      <c r="O23" s="197">
        <f t="shared" si="21"/>
        <v>2</v>
      </c>
      <c r="P23" s="197">
        <f t="shared" si="21"/>
        <v>25</v>
      </c>
      <c r="Q23" s="197">
        <f t="shared" si="21"/>
        <v>13</v>
      </c>
      <c r="R23" s="197">
        <f t="shared" si="21"/>
        <v>21</v>
      </c>
      <c r="S23" s="197">
        <f t="shared" si="21"/>
        <v>330</v>
      </c>
      <c r="T23" s="197">
        <f t="shared" si="21"/>
        <v>729</v>
      </c>
      <c r="U23" s="197">
        <f t="shared" si="21"/>
        <v>690</v>
      </c>
      <c r="V23" s="197">
        <f t="shared" si="21"/>
        <v>254</v>
      </c>
      <c r="W23" s="197">
        <f t="shared" si="21"/>
        <v>112</v>
      </c>
      <c r="X23" s="197">
        <f t="shared" si="21"/>
        <v>349</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6</v>
      </c>
      <c r="AM23" s="197">
        <f t="shared" si="21"/>
        <v>6</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330</v>
      </c>
      <c r="AZ23" s="197">
        <f>SUBTOTAL(9,AZ15:AZ22)</f>
        <v>729</v>
      </c>
      <c r="BA23" s="197">
        <f>SUBTOTAL(9,BA15:BA22)</f>
        <v>690</v>
      </c>
      <c r="BB23" s="197">
        <f>SUBTOTAL(9,BB15:BB22)</f>
        <v>254</v>
      </c>
      <c r="BC23" s="197">
        <f>SUBTOTAL(9,BC15:BC22)</f>
        <v>112</v>
      </c>
      <c r="BD23" s="219">
        <f>IF(ISNUMBER(BA23/AZ23),BA23/AZ23," - ")</f>
        <v>0.94650205761316875</v>
      </c>
      <c r="BE23" s="220">
        <f>IF(ISNUMBER(BB23/BA23),BB23/BA23, " - ")</f>
        <v>0.36811594202898551</v>
      </c>
      <c r="BF23" s="220">
        <f>IF(ISNUMBER(BC23/BA23),BC23/BA23, " - ")</f>
        <v>0.16231884057971013</v>
      </c>
      <c r="BG23" s="221">
        <f>IF(ISNUMBER((AY23+AZ23)/BA23),(AY23+AZ23)/BA23," - ")</f>
        <v>1.5347826086956522</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628</v>
      </c>
      <c r="J31" s="144">
        <f t="shared" si="36"/>
        <v>1413</v>
      </c>
      <c r="K31" s="144">
        <f t="shared" si="36"/>
        <v>1249</v>
      </c>
      <c r="L31" s="144">
        <f t="shared" si="36"/>
        <v>727</v>
      </c>
      <c r="M31" s="144">
        <f t="shared" si="36"/>
        <v>214</v>
      </c>
      <c r="N31" s="144">
        <f t="shared" si="36"/>
        <v>625</v>
      </c>
      <c r="O31" s="144">
        <f t="shared" si="36"/>
        <v>161</v>
      </c>
      <c r="P31" s="144">
        <f t="shared" si="36"/>
        <v>185</v>
      </c>
      <c r="Q31" s="144">
        <f t="shared" si="36"/>
        <v>54</v>
      </c>
      <c r="R31" s="144">
        <f t="shared" si="36"/>
        <v>747</v>
      </c>
      <c r="S31" s="144">
        <f t="shared" si="36"/>
        <v>666</v>
      </c>
      <c r="T31" s="144">
        <f t="shared" si="36"/>
        <v>1253</v>
      </c>
      <c r="U31" s="144">
        <f t="shared" si="36"/>
        <v>1101</v>
      </c>
      <c r="V31" s="144">
        <f t="shared" si="36"/>
        <v>628</v>
      </c>
      <c r="W31" s="144">
        <f t="shared" si="36"/>
        <v>216</v>
      </c>
      <c r="X31" s="144">
        <f t="shared" si="36"/>
        <v>508</v>
      </c>
      <c r="Y31" s="144">
        <f t="shared" si="36"/>
        <v>42</v>
      </c>
      <c r="Z31" s="144">
        <f t="shared" si="36"/>
        <v>52</v>
      </c>
      <c r="AA31" s="144">
        <f t="shared" si="36"/>
        <v>34</v>
      </c>
      <c r="AB31" s="144">
        <f t="shared" si="36"/>
        <v>60</v>
      </c>
      <c r="AC31" s="144">
        <f t="shared" si="36"/>
        <v>0</v>
      </c>
      <c r="AD31" s="144">
        <f t="shared" si="36"/>
        <v>0</v>
      </c>
      <c r="AE31" s="144">
        <f t="shared" si="36"/>
        <v>0</v>
      </c>
      <c r="AF31" s="144">
        <f t="shared" si="36"/>
        <v>0</v>
      </c>
      <c r="AG31" s="144">
        <f t="shared" si="36"/>
        <v>43</v>
      </c>
      <c r="AH31" s="144">
        <f t="shared" si="36"/>
        <v>51</v>
      </c>
      <c r="AI31" s="144">
        <f t="shared" si="36"/>
        <v>52</v>
      </c>
      <c r="AJ31" s="144">
        <f t="shared" si="36"/>
        <v>42</v>
      </c>
      <c r="AK31" s="144">
        <f t="shared" si="36"/>
        <v>0</v>
      </c>
      <c r="AL31" s="144">
        <f t="shared" si="36"/>
        <v>6</v>
      </c>
      <c r="AM31" s="144">
        <f t="shared" si="36"/>
        <v>6</v>
      </c>
      <c r="AN31" s="224">
        <f t="shared" si="36"/>
        <v>0</v>
      </c>
      <c r="AO31" s="225">
        <v>3</v>
      </c>
      <c r="AP31" s="225">
        <v>2</v>
      </c>
      <c r="AQ31" s="225">
        <v>2</v>
      </c>
      <c r="AR31" s="225">
        <v>2</v>
      </c>
      <c r="AS31" s="166">
        <f t="shared" si="36"/>
        <v>0</v>
      </c>
      <c r="AT31" s="166">
        <f t="shared" si="36"/>
        <v>0</v>
      </c>
      <c r="AU31" s="225"/>
      <c r="AV31" s="226"/>
      <c r="AW31" s="225"/>
      <c r="AX31" s="226"/>
      <c r="AY31" s="143">
        <f>SUBTOTAL(9,AY9:AY30)</f>
        <v>709</v>
      </c>
      <c r="AZ31" s="144">
        <f>SUBTOTAL(9,AZ9:AZ30)</f>
        <v>1304</v>
      </c>
      <c r="BA31" s="144">
        <f>SUBTOTAL(9,BA9:BA30)</f>
        <v>1153</v>
      </c>
      <c r="BB31" s="144">
        <f>SUBTOTAL(9,BB9:BB30)</f>
        <v>670</v>
      </c>
      <c r="BC31" s="145">
        <f>SUBTOTAL(9,BC9:BC30)</f>
        <v>271</v>
      </c>
      <c r="BD31" s="227">
        <f>IF(ISNUMBER(BA31/AZ31),BA31/AZ31," - ")</f>
        <v>0.88420245398773001</v>
      </c>
      <c r="BE31" s="224">
        <f>IF(ISNUMBER(BB31/BA31),BB31/BA31, " - ")</f>
        <v>0.58109280138768427</v>
      </c>
      <c r="BF31" s="224">
        <f>IF(ISNUMBER(BC31/BA31),BC31/BA31, " - ")</f>
        <v>0.23503902862098872</v>
      </c>
      <c r="BG31" s="145">
        <f>IF(ISNUMBER((AY31+AZ31)/BA31),(AY31+AZ31)/BA31," - ")</f>
        <v>1.7458803122289679</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wXMA6SdlNAKao+fhIM/4gN4kvv7dY0WPGNeBpJUKdyAtRuOpofWcK6IyGWfpqE8w9wvqHLqPe/cqssPAPPosXQ==" saltValue="Bp2iG2Y+7n/6ovUGYwsT7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c0W67eKPlIbWTrI506tki1UE99lKWn41U7yGMMweuYrBtEz7Ff9GJwu39T0ssHXTU/3J0vBG+QBnePvfTeM2XQ==" saltValue="pzgjsmvxcN1SAocgvEWbQ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EXTREMADURA</v>
      </c>
      <c r="F1" s="578"/>
    </row>
    <row r="2" spans="1:74" ht="16.5" customHeight="1">
      <c r="C2" s="567" t="str">
        <f>Criterios!A10 &amp;"  "&amp;Criterios!B10 &amp; "  " &amp; IF(NOT(ISBLANK(Criterios!A11)),Criterios!A11 &amp;"  "&amp;Criterios!B11,"")</f>
        <v>Provincias  BADAJOZ  Resumenes por Partidos Judiciales  CASTUERA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v>
      </c>
      <c r="AC10" s="547">
        <f>IF(ISNUMBER(Datos!Q10),Datos!Q10," - ")</f>
        <v>0</v>
      </c>
      <c r="AD10" s="549"/>
      <c r="AE10" s="563"/>
      <c r="AF10" s="551">
        <f>IF(ISNUMBER(Datos!L10),Datos!L10,"-")</f>
        <v>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3</v>
      </c>
      <c r="BH10" s="764">
        <f>IF(ISNUMBER(((Datos!L10/Datos!K10)*11)/factor_trimestre),((Datos!L10/Datos!K10)*11)/factor_trimestre," - ")</f>
        <v>0</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52</v>
      </c>
      <c r="O12" s="549"/>
      <c r="P12" s="549"/>
      <c r="Q12" s="547">
        <f>IF(ISNUMBER(Datos!P12),Datos!P12,0)</f>
        <v>160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60</v>
      </c>
      <c r="AI12" s="549" t="str">
        <f>IF(ISNUMBER(Datos!CD12),Datos!CD12,"-")</f>
        <v>-</v>
      </c>
      <c r="AJ12" s="549" t="str">
        <f>IF(ISNUMBER(Datos!EN12),Datos!EN12," - ")</f>
        <v xml:space="preserve"> - </v>
      </c>
      <c r="AK12" s="549"/>
      <c r="AL12" s="550"/>
      <c r="AM12" s="766">
        <f>IF(ISNUMBER(Datos!R12),Datos!R12," - ")</f>
        <v>726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138</v>
      </c>
      <c r="BD12" s="693">
        <f>IF(ISNUMBER(Datos!N12),Datos!N12," - ")</f>
        <v>131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0.79406919275123555</v>
      </c>
      <c r="BH12" s="764">
        <f>IF(ISNUMBER(((IF(J_V="SI",Datos!L12/Datos!K12,(Datos!L12+Datos!AB12)/(Datos!K12+Datos!AA12)))*11)/factor_trimestre),((IF(J_V="SI",Datos!L12/Datos!K12,(Datos!L12+Datos!AB12)/(Datos!K12+Datos!AA12)))*11)/factor_trimestre," - ")</f>
        <v>11.29668049792531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0.19604612850082373</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2</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52</v>
      </c>
      <c r="O14" s="1199">
        <f t="shared" si="1"/>
        <v>0</v>
      </c>
      <c r="P14" s="1199">
        <f t="shared" si="1"/>
        <v>0</v>
      </c>
      <c r="Q14" s="1198">
        <f t="shared" si="1"/>
        <v>160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v>
      </c>
      <c r="AC14" s="1198">
        <f t="shared" si="2"/>
        <v>41</v>
      </c>
      <c r="AD14" s="1198">
        <f t="shared" si="2"/>
        <v>0</v>
      </c>
      <c r="AE14" s="1198">
        <f t="shared" si="2"/>
        <v>0</v>
      </c>
      <c r="AF14" s="1198">
        <f t="shared" si="2"/>
        <v>0</v>
      </c>
      <c r="AG14" s="1198">
        <f t="shared" si="2"/>
        <v>0</v>
      </c>
      <c r="AH14" s="1198">
        <f t="shared" si="2"/>
        <v>60</v>
      </c>
      <c r="AI14" s="1198">
        <f t="shared" si="2"/>
        <v>0</v>
      </c>
      <c r="AJ14" s="1198">
        <f t="shared" si="2"/>
        <v>0</v>
      </c>
      <c r="AK14" s="1198">
        <f t="shared" si="2"/>
        <v>0</v>
      </c>
      <c r="AL14" s="1198">
        <f t="shared" si="2"/>
        <v>0</v>
      </c>
      <c r="AM14" s="1198">
        <f t="shared" si="2"/>
        <v>726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138</v>
      </c>
      <c r="BD14" s="1198">
        <f t="shared" si="2"/>
        <v>131</v>
      </c>
      <c r="BE14" s="1198">
        <f t="shared" si="2"/>
        <v>0</v>
      </c>
      <c r="BF14" s="1198">
        <f t="shared" si="2"/>
        <v>0</v>
      </c>
      <c r="BG14" s="1198">
        <f>IF(ISNUMBER(Datos!K14/Datos!J14),Datos!K14/Datos!J14," - ")</f>
        <v>0.8111510791366906</v>
      </c>
      <c r="BH14" s="1202">
        <f>IF(ISNUMBER(((Datos!L14/Datos!K14)*11)/factor_trimestre),((Datos!L14/Datos!K14)*11)/factor_trimestre," - ")</f>
        <v>10.609756097560975</v>
      </c>
      <c r="BI14" s="1198">
        <f>IF(ISNUMBER('Resol  Asuntos'!D14/NºAsuntos!G14),'Resol  Asuntos'!D14/NºAsuntos!G14," - ")</f>
        <v>0.28453608247422679</v>
      </c>
      <c r="BJ14" s="1198" t="str">
        <f>IF(ISNUMBER(Datos!CI14/Datos!CJ14),Datos!CI14/Datos!CJ14," - ")</f>
        <v xml:space="preserve"> - </v>
      </c>
      <c r="BK14" s="1198">
        <f>SUBTOTAL(9,BK8:BK13)</f>
        <v>0</v>
      </c>
      <c r="BL14" s="1198">
        <f>IF(ISNUMBER((I14-AB14+L14)/(F14)),(I14-AB14+L14)/(F14)," - ")</f>
        <v>-1.5</v>
      </c>
      <c r="BM14" s="1203">
        <f>SUBTOTAL(9,BM9:BM13)</f>
        <v>0.19604612850082373</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209</v>
      </c>
      <c r="G17" s="743">
        <f>IF(ISNUMBER(IF(D_I="SI",Datos!I17,Datos!I17+Datos!AC17)),IF(D_I="SI",Datos!I17,Datos!I17+Datos!AC17)," - ")</f>
        <v>230</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23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716</v>
      </c>
      <c r="AC17" s="240">
        <f>IF(ISNUMBER(Datos!Q17),Datos!Q17," - ")</f>
        <v>12</v>
      </c>
      <c r="AD17" s="374"/>
      <c r="AE17" s="562"/>
      <c r="AF17" s="741">
        <f>IF(ISNUMBER(IF(D_I="SI",Datos!L17,Datos!L17+Datos!AF17)),IF(D_I="SI",Datos!L17,Datos!L17+Datos!AF17)," - ")</f>
        <v>260</v>
      </c>
      <c r="AG17" s="374"/>
      <c r="AH17" s="374"/>
      <c r="AI17" s="374"/>
      <c r="AJ17" s="549"/>
      <c r="AK17" s="374"/>
      <c r="AL17" s="545"/>
      <c r="AM17" s="375">
        <f>IF(ISNUMBER(Datos!R17),Datos!R17," - ")</f>
        <v>19</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64</v>
      </c>
      <c r="BD17" s="243">
        <f>IF(ISNUMBER(Datos!N17),Datos!N17," - ")</f>
        <v>459</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0.93350717079530643</v>
      </c>
      <c r="BH17" s="764">
        <f>IF(ISNUMBER(((IF(D_I="SI",Datos!L17/Datos!K17,(Datos!L17+Datos!AF17)/(Datos!K17+Datos!AE17)))*11)/factor_trimestre),((IF(D_I="SI",Datos!L17/Datos!K17,(Datos!L17+Datos!AF17)/(Datos!K17+Datos!AE17)))*11)/factor_trimestre," - ")</f>
        <v>3.994413407821229</v>
      </c>
      <c r="BI17" s="266">
        <f>IF(ISNUMBER('Resol  Asuntos'!D17/NºAsuntos!G17),'Resol  Asuntos'!D17/NºAsuntos!G17," - ")</f>
        <v>8.9385474860335198E-2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82</v>
      </c>
      <c r="AC18" s="547">
        <f>IF(ISNUMBER(Datos!Q18),Datos!Q18," - ")</f>
        <v>1</v>
      </c>
      <c r="AD18" s="549"/>
      <c r="AE18" s="562"/>
      <c r="AF18" s="551">
        <f>IF(ISNUMBER(Datos!L18),Datos!L18,"-")</f>
        <v>32</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12</v>
      </c>
      <c r="BD18" s="693">
        <f>IF(ISNUMBER(Datos!N18),Datos!N18," - ")</f>
        <v>35</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0.91111111111111109</v>
      </c>
      <c r="BH18" s="764">
        <f>IF(ISNUMBER(((IF(D_I="SI",Datos!L18/Datos!K18,(Datos!L18+Datos!AF18)/(Datos!K18+Datos!AE18)))*11)/factor_trimestre),((IF(D_I="SI",Datos!L18/Datos!K18,(Datos!L18+Datos!AF18)/(Datos!K18+Datos!AE18)))*11)/factor_trimestre," - ")</f>
        <v>4.2926829268292686</v>
      </c>
      <c r="BI18" s="763">
        <f>IF(ISNUMBER('Resol  Asuntos'!D18/NºAsuntos!G18),'Resol  Asuntos'!D18/NºAsuntos!G18," - ")</f>
        <v>0.14634146341463414</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2</v>
      </c>
      <c r="F23" s="1197">
        <f>SUBTOTAL(9,F16:F22)</f>
        <v>209</v>
      </c>
      <c r="G23" s="1197">
        <f>SUBTOTAL(9,G16:G22)</f>
        <v>254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25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798</v>
      </c>
      <c r="AC23" s="1198">
        <f t="shared" si="5"/>
        <v>13</v>
      </c>
      <c r="AD23" s="1198">
        <f t="shared" si="5"/>
        <v>0</v>
      </c>
      <c r="AE23" s="1198">
        <f t="shared" si="5"/>
        <v>0</v>
      </c>
      <c r="AF23" s="1198">
        <f t="shared" si="5"/>
        <v>292</v>
      </c>
      <c r="AG23" s="1198">
        <f t="shared" si="5"/>
        <v>0</v>
      </c>
      <c r="AH23" s="1198">
        <f t="shared" si="5"/>
        <v>0</v>
      </c>
      <c r="AI23" s="1198">
        <f t="shared" si="5"/>
        <v>0</v>
      </c>
      <c r="AJ23" s="1198">
        <f t="shared" si="5"/>
        <v>0</v>
      </c>
      <c r="AK23" s="1198">
        <f t="shared" si="5"/>
        <v>0</v>
      </c>
      <c r="AL23" s="1198">
        <f t="shared" si="5"/>
        <v>0</v>
      </c>
      <c r="AM23" s="1198">
        <f t="shared" si="5"/>
        <v>21</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76</v>
      </c>
      <c r="BD23" s="1198">
        <f t="shared" si="5"/>
        <v>494</v>
      </c>
      <c r="BE23" s="1198">
        <f t="shared" si="5"/>
        <v>0</v>
      </c>
      <c r="BF23" s="1198">
        <f t="shared" si="5"/>
        <v>0</v>
      </c>
      <c r="BG23" s="1198">
        <f>IF(ISNUMBER(Datos!K23/Datos!J23),Datos!K23/Datos!J23," - ")</f>
        <v>0.93115519253208867</v>
      </c>
      <c r="BH23" s="1202">
        <f>IF(ISNUMBER(((Datos!L23/Datos!K23)*11)/factor_trimestre),((Datos!L23/Datos!K23)*11)/factor_trimestre," - ")</f>
        <v>4.0250626566416035</v>
      </c>
      <c r="BI23" s="1198">
        <f>SUBTOTAL(9,BI16:BI22)</f>
        <v>0.23572693827496932</v>
      </c>
      <c r="BJ23" s="1198">
        <f>SUBTOTAL(9,BJ16:BJ22)</f>
        <v>0</v>
      </c>
      <c r="BK23" s="1198">
        <f>SUBTOTAL(9,BK16:BK22)</f>
        <v>0</v>
      </c>
      <c r="BL23" s="1198">
        <f>IF(ISNUMBER((I23-AB23+L23)/(F23)),(I23-AB23+L23)/(F23)," - ")</f>
        <v>-3.8181818181818183</v>
      </c>
      <c r="BM23" s="1205">
        <f>IF(ISNUMBER((Datos!P23-Datos!Q23)/(Datos!R23-Datos!P23+Datos!Q23)),(Datos!P23-Datos!Q23)/(Datos!R23-Datos!P23+Datos!Q23)," - ")</f>
        <v>1.3333333333333333</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4</v>
      </c>
      <c r="F31" s="1117">
        <f t="shared" si="18"/>
        <v>211</v>
      </c>
      <c r="G31" s="1117">
        <f t="shared" si="18"/>
        <v>256</v>
      </c>
      <c r="H31" s="1119">
        <f t="shared" si="18"/>
        <v>0</v>
      </c>
      <c r="I31" s="1117">
        <f t="shared" si="18"/>
        <v>0</v>
      </c>
      <c r="J31" s="1119">
        <f t="shared" si="18"/>
        <v>0</v>
      </c>
      <c r="K31" s="1119">
        <f t="shared" si="18"/>
        <v>0</v>
      </c>
      <c r="L31" s="1180">
        <f t="shared" si="18"/>
        <v>0</v>
      </c>
      <c r="M31" s="1180">
        <f t="shared" si="18"/>
        <v>0</v>
      </c>
      <c r="N31" s="1180">
        <f t="shared" si="18"/>
        <v>52</v>
      </c>
      <c r="O31" s="1180">
        <f t="shared" si="18"/>
        <v>0</v>
      </c>
      <c r="P31" s="1180">
        <f t="shared" si="18"/>
        <v>0</v>
      </c>
      <c r="Q31" s="1119">
        <f t="shared" si="18"/>
        <v>185</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801</v>
      </c>
      <c r="AC31" s="1118">
        <f t="shared" si="19"/>
        <v>54</v>
      </c>
      <c r="AD31" s="1118">
        <f t="shared" si="19"/>
        <v>0</v>
      </c>
      <c r="AE31" s="1118">
        <f t="shared" si="19"/>
        <v>0</v>
      </c>
      <c r="AF31" s="1125">
        <f t="shared" si="19"/>
        <v>292</v>
      </c>
      <c r="AG31" s="1125">
        <f t="shared" si="19"/>
        <v>0</v>
      </c>
      <c r="AH31" s="1125">
        <f t="shared" si="19"/>
        <v>60</v>
      </c>
      <c r="AI31" s="1125">
        <f t="shared" si="19"/>
        <v>0</v>
      </c>
      <c r="AJ31" s="1118">
        <f t="shared" si="19"/>
        <v>0</v>
      </c>
      <c r="AK31" s="1125">
        <f t="shared" si="19"/>
        <v>0</v>
      </c>
      <c r="AL31" s="1125">
        <f t="shared" si="19"/>
        <v>0</v>
      </c>
      <c r="AM31" s="1125">
        <f t="shared" si="19"/>
        <v>747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214</v>
      </c>
      <c r="BD31" s="1117">
        <f t="shared" si="19"/>
        <v>625</v>
      </c>
      <c r="BE31" s="1117">
        <f t="shared" si="19"/>
        <v>0</v>
      </c>
      <c r="BF31" s="1127">
        <f t="shared" si="19"/>
        <v>0</v>
      </c>
      <c r="BG31" s="1223">
        <f>IF(ISNUMBER(Datos!K31/Datos!J31),Datos!K31/Datos!J31," - ")</f>
        <v>0.88393489030431704</v>
      </c>
      <c r="BH31" s="1223">
        <f>IF(ISNUMBER(((Datos!L31/Datos!K31)*11)/factor_trimestre),((Datos!L31/Datos!K31)*11)/factor_trimestre," - ")</f>
        <v>6.4027221777421932</v>
      </c>
      <c r="BI31" s="1103">
        <f>IF(ISNUMBER(Datos!J31/Datos!I31),Datos!J31/Datos!I31," - ")</f>
        <v>2.25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-3.796208530805687</v>
      </c>
      <c r="BM31" s="1188">
        <f>IF(ISNUMBER((Datos!P31-Datos!Q31+R31)/(Datos!R31-Datos!P31+Datos!Q31-R31)),(Datos!P31-Datos!Q31+R31)/(Datos!R31-Datos!P31+Datos!Q31-R31)," - ")</f>
        <v>0.21266233766233766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107.41446209271201</v>
      </c>
      <c r="G33" s="674">
        <f>IF(ISNUMBER(STDEV(G8:G30)),STDEV(G8:G30),"-")</f>
        <v>115.86691873499898</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362.7609077484455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60.007142432023393</v>
      </c>
      <c r="BD33" s="673"/>
      <c r="BE33" s="673">
        <f>IF(ISNUMBER(STDEV(BE8:BE30)),STDEV(BE8:BE30),"-")</f>
        <v>0</v>
      </c>
      <c r="BF33" s="678">
        <f>IF(ISNUMBER(STDEV(BF8:BF30)),STDEV(BF8:BF30),"-")</f>
        <v>0</v>
      </c>
      <c r="BG33" s="1052">
        <f>IF(ISNUMBER(STDEV(BG8:BG30)),STDEV(BG8:BG30),"-")</f>
        <v>0.86916928878158328</v>
      </c>
      <c r="BH33" s="1058">
        <f>IF(ISNUMBER(STDEV(BH8:BH30)),STDEV(BH8:BH30),"-")</f>
        <v>4.3729500791293674</v>
      </c>
      <c r="BI33" s="273">
        <f>IF(ISNUMBER(STDEV(BI8:BI30)),STDEV(BI8:BI30),"-")</f>
        <v>8.7661002641379188E-2</v>
      </c>
      <c r="BJ33" s="244" t="str">
        <f>IF(ISNUMBER(BL33/BM33),BL33/BM33," - ")</f>
        <v xml:space="preserve"> - </v>
      </c>
      <c r="BK33" s="709"/>
      <c r="BL33" s="681">
        <f>IF(ISNUMBER(STDEV(BL8:BL30)),STDEV(BL8:BL30),"-")</f>
        <v>1.6392020836597234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bpkf6iSg5kMh1QQHCYEcdyyx9b28sEXthLvRsowDCa6OWWYcUbjxX19kUQvWF4DImYxdHhh7OG5JKN44dvQGAw==" saltValue="h+CtQbKr8THYCTBU8THvX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EXTREMADURA</v>
      </c>
    </row>
    <row r="2" spans="1:73" ht="16.5" customHeight="1">
      <c r="C2" s="647" t="str">
        <f>Criterios!A10 &amp;"  "&amp;Criterios!B10 &amp; "  " &amp; IF(NOT(ISBLANK(Criterios!A11)),Criterios!A11 &amp;"  "&amp;Criterios!B11,"")</f>
        <v>Provincias  BADAJOZ  Resumenes por Partidos Judiciales  CASTUERA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v>
      </c>
      <c r="Z10" s="805">
        <f>IF(ISNUMBER(Datos!Q10),Datos!Q10," - ")</f>
        <v>0</v>
      </c>
      <c r="AA10" s="551">
        <f>IF(ISNUMBER(Datos!L10),Datos!L10,"-")</f>
        <v>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0</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v>
      </c>
      <c r="AA12" s="551" t="str">
        <f>IF(ISNUMBER(IF(J_V="SI",Datos!L12,Datos!L12+Datos!AB12)-IF(Monitorios="SI",Datos!CD12,0)),
                          IF(J_V="SI",Datos!L12,Datos!L12+Datos!AB12)-IF(Monitorios="SI",Datos!CD12,0),
                          " - ")</f>
        <v xml:space="preserve"> - </v>
      </c>
      <c r="AB12" s="549"/>
      <c r="AC12" s="549"/>
      <c r="AD12" s="563"/>
      <c r="AE12" s="563">
        <f>IF(ISNUMBER(Datos!R12),Datos!R12," - ")</f>
        <v>726</v>
      </c>
      <c r="AF12" s="693" t="str">
        <f>IF(ISNUMBER(Datos!BV12),Datos!BV12," - ")</f>
        <v xml:space="preserve"> - </v>
      </c>
      <c r="AG12" s="552" t="str">
        <f>IF(ISNUMBER(Datos!DV12),Datos!DV12," - ")</f>
        <v xml:space="preserve"> - </v>
      </c>
      <c r="AH12" s="553"/>
      <c r="AI12" s="554"/>
      <c r="AJ12" s="552">
        <f>IF(ISNUMBER(Datos!M12),Datos!M12," - ")</f>
        <v>138</v>
      </c>
      <c r="AK12" s="693">
        <f>IF(ISNUMBER(Datos!N12),Datos!N12," - ")</f>
        <v>131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11.29668049792531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0.19604612850082373</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2</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160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v>
      </c>
      <c r="Z14" s="1210">
        <f t="shared" si="3"/>
        <v>41</v>
      </c>
      <c r="AA14" s="1199">
        <f t="shared" si="3"/>
        <v>0</v>
      </c>
      <c r="AB14" s="1199">
        <f t="shared" si="3"/>
        <v>0</v>
      </c>
      <c r="AC14" s="1199">
        <f t="shared" si="3"/>
        <v>0</v>
      </c>
      <c r="AD14" s="1199">
        <f t="shared" si="3"/>
        <v>0</v>
      </c>
      <c r="AE14" s="1199">
        <f t="shared" si="3"/>
        <v>726</v>
      </c>
      <c r="AF14" s="1211">
        <f t="shared" si="3"/>
        <v>0</v>
      </c>
      <c r="AG14" s="1211">
        <f t="shared" si="3"/>
        <v>0</v>
      </c>
      <c r="AH14" s="1211">
        <f t="shared" si="3"/>
        <v>0</v>
      </c>
      <c r="AI14" s="1211">
        <f t="shared" si="3"/>
        <v>0</v>
      </c>
      <c r="AJ14" s="1211">
        <f t="shared" si="3"/>
        <v>138</v>
      </c>
      <c r="AK14" s="1211">
        <f t="shared" si="3"/>
        <v>131</v>
      </c>
      <c r="AL14" s="1211">
        <f t="shared" si="3"/>
        <v>0</v>
      </c>
      <c r="AM14" s="1211">
        <f t="shared" si="3"/>
        <v>0</v>
      </c>
      <c r="AN14" s="1211">
        <f t="shared" si="3"/>
        <v>0</v>
      </c>
      <c r="AO14" s="1203">
        <f>IF(ISNUMBER(((NºAsuntos!I14/NºAsuntos!G14)*11)/factor_trimestre),((NºAsuntos!I14/NºAsuntos!G14)*11)/factor_trimestre," - ")</f>
        <v>11.226804123711339</v>
      </c>
      <c r="AP14" s="1213" t="str">
        <f>IF(ISNUMBER(Datos!CI14/Datos!CJ14),Datos!CI14/Datos!CJ14," - ")</f>
        <v xml:space="preserve"> - </v>
      </c>
      <c r="AQ14" s="1236">
        <f t="shared" ref="AQ14:AV14" si="4">SUBTOTAL(9,AQ9:AQ13)</f>
        <v>0</v>
      </c>
      <c r="AR14" s="1236">
        <f t="shared" si="4"/>
        <v>0.19604612850082373</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209</v>
      </c>
      <c r="G17" s="552">
        <f>IF(ISNUMBER(IF(D_I="SI",Datos!I17,Datos!I17+Datos!AC17)),IF(D_I="SI",Datos!I17,Datos!I17+Datos!AC17)," - ")</f>
        <v>230</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23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716</v>
      </c>
      <c r="Z17" s="805">
        <f>IF(ISNUMBER(Datos!Q17),Datos!Q17," - ")</f>
        <v>12</v>
      </c>
      <c r="AA17" s="551">
        <f>IF(ISNUMBER(IF(D_I="SI",Datos!L17,Datos!L17+Datos!AF17)),IF(D_I="SI",Datos!L17,Datos!L17+Datos!AF17)," - ")</f>
        <v>260</v>
      </c>
      <c r="AB17" s="549"/>
      <c r="AC17" s="549"/>
      <c r="AD17" s="563"/>
      <c r="AE17" s="563">
        <f>IF(ISNUMBER(Datos!R17),Datos!R17," - ")</f>
        <v>19</v>
      </c>
      <c r="AF17" s="693" t="str">
        <f>IF(ISNUMBER(Datos!BV17),Datos!BV17," - ")</f>
        <v xml:space="preserve"> - </v>
      </c>
      <c r="AG17" s="552"/>
      <c r="AH17" s="553"/>
      <c r="AI17" s="554"/>
      <c r="AJ17" s="552">
        <f>IF(ISNUMBER(Datos!M17),Datos!M17," - ")</f>
        <v>64</v>
      </c>
      <c r="AK17" s="693">
        <f>IF(ISNUMBER(Datos!N17),Datos!N17," - ")</f>
        <v>459</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3.994413407821229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82</v>
      </c>
      <c r="Z18" s="805">
        <f>IF(ISNUMBER(Datos!Q18),Datos!Q18," - ")</f>
        <v>1</v>
      </c>
      <c r="AA18" s="551">
        <f>IF(ISNUMBER(Datos!L18),Datos!L18,"-")</f>
        <v>32</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12</v>
      </c>
      <c r="AK18" s="693">
        <f>IF(ISNUMBER(Datos!N18),Datos!N18," - ")</f>
        <v>35</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4.2926829268292686</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2</v>
      </c>
      <c r="F23" s="1197">
        <f>SUBTOTAL(9,F16:F22)</f>
        <v>209</v>
      </c>
      <c r="G23" s="1197">
        <f>SUBTOTAL(9,G16:G22)</f>
        <v>254</v>
      </c>
      <c r="H23" s="1240">
        <f>SUBTOTAL(9,H16:H22)</f>
        <v>0</v>
      </c>
      <c r="I23" s="1217">
        <f>SUBTOTAL(9,I16:I22)</f>
        <v>0</v>
      </c>
      <c r="J23" s="1164">
        <f>SUBTOTAL(9,J15:J22)</f>
        <v>0</v>
      </c>
      <c r="K23" s="1240">
        <f t="shared" ref="K23:S23" si="5">SUBTOTAL(9,K16:K22)</f>
        <v>0</v>
      </c>
      <c r="L23" s="1240">
        <f t="shared" si="5"/>
        <v>0</v>
      </c>
      <c r="M23" s="1240">
        <f t="shared" si="5"/>
        <v>0</v>
      </c>
      <c r="N23" s="1240">
        <f t="shared" si="5"/>
        <v>25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798</v>
      </c>
      <c r="Z23" s="1240">
        <f t="shared" si="6"/>
        <v>13</v>
      </c>
      <c r="AA23" s="1240">
        <f t="shared" si="6"/>
        <v>292</v>
      </c>
      <c r="AB23" s="1240">
        <f t="shared" si="6"/>
        <v>0</v>
      </c>
      <c r="AC23" s="1240">
        <f t="shared" si="6"/>
        <v>0</v>
      </c>
      <c r="AD23" s="1240">
        <f t="shared" si="6"/>
        <v>0</v>
      </c>
      <c r="AE23" s="1240">
        <f t="shared" si="6"/>
        <v>21</v>
      </c>
      <c r="AF23" s="1240">
        <f t="shared" si="6"/>
        <v>0</v>
      </c>
      <c r="AG23" s="1240">
        <f t="shared" si="6"/>
        <v>0</v>
      </c>
      <c r="AH23" s="1240">
        <f t="shared" si="6"/>
        <v>0</v>
      </c>
      <c r="AI23" s="1240">
        <f t="shared" si="6"/>
        <v>0</v>
      </c>
      <c r="AJ23" s="1240">
        <f t="shared" si="6"/>
        <v>76</v>
      </c>
      <c r="AK23" s="1240">
        <f t="shared" si="6"/>
        <v>494</v>
      </c>
      <c r="AL23" s="1240">
        <f t="shared" si="6"/>
        <v>0</v>
      </c>
      <c r="AM23" s="1240">
        <f t="shared" si="6"/>
        <v>0</v>
      </c>
      <c r="AN23" s="1240">
        <f t="shared" si="6"/>
        <v>0</v>
      </c>
      <c r="AO23" s="1242">
        <f>IF(ISNUMBER(((NºAsuntos!I23/NºAsuntos!G23)*11)/factor_trimestre),((NºAsuntos!I23/NºAsuntos!G23)*11)/factor_trimestre," - ")</f>
        <v>4.0250626566416035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211</v>
      </c>
      <c r="G31" s="1117">
        <f t="shared" si="12"/>
        <v>256</v>
      </c>
      <c r="H31" s="1118">
        <f t="shared" si="12"/>
        <v>0</v>
      </c>
      <c r="I31" s="1117">
        <f t="shared" si="12"/>
        <v>0</v>
      </c>
      <c r="J31" s="1119">
        <f t="shared" si="12"/>
        <v>0</v>
      </c>
      <c r="K31" s="1117">
        <f t="shared" si="12"/>
        <v>0</v>
      </c>
      <c r="L31" s="1120">
        <f t="shared" si="12"/>
        <v>0</v>
      </c>
      <c r="M31" s="1117">
        <f t="shared" si="12"/>
        <v>0</v>
      </c>
      <c r="N31" s="1118">
        <f t="shared" si="12"/>
        <v>185</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801</v>
      </c>
      <c r="Z31" s="1124">
        <f t="shared" si="13"/>
        <v>54</v>
      </c>
      <c r="AA31" s="1125">
        <f t="shared" si="13"/>
        <v>292</v>
      </c>
      <c r="AB31" s="1125">
        <f t="shared" si="13"/>
        <v>0</v>
      </c>
      <c r="AC31" s="1125">
        <f t="shared" si="13"/>
        <v>0</v>
      </c>
      <c r="AD31" s="1126">
        <f t="shared" si="13"/>
        <v>0</v>
      </c>
      <c r="AE31" s="1126">
        <f t="shared" si="13"/>
        <v>747</v>
      </c>
      <c r="AF31" s="1127">
        <f t="shared" si="13"/>
        <v>0</v>
      </c>
      <c r="AG31" s="1128">
        <f t="shared" si="13"/>
        <v>0</v>
      </c>
      <c r="AH31" s="1129">
        <f t="shared" si="13"/>
        <v>0</v>
      </c>
      <c r="AI31" s="1127">
        <f t="shared" si="13"/>
        <v>0</v>
      </c>
      <c r="AJ31" s="1117">
        <f t="shared" si="13"/>
        <v>214</v>
      </c>
      <c r="AK31" s="1117">
        <f t="shared" si="13"/>
        <v>625</v>
      </c>
      <c r="AL31" s="1117">
        <f t="shared" si="13"/>
        <v>0</v>
      </c>
      <c r="AM31" s="1130">
        <f t="shared" si="13"/>
        <v>0</v>
      </c>
      <c r="AN31" s="1120">
        <f>IF(ISNUMBER(Datos!K31/Datos!J31),Datos!K31/Datos!J31," - ")</f>
        <v>0.88393489030431704</v>
      </c>
      <c r="AO31" s="1120">
        <f>IF(ISNUMBER(FIND("06",Criterios!A8,1)),(IF(ISNUMBER(((Datos!R31/Datos!Q31)*11)/factor_trimestre),((Datos!R31/Datos!Q31)*11)/factor_trimestre," - ")),(IF(ISNUMBER(((Datos!L31/Datos!K31)*11)/factor_trimestre),((Datos!L31/Datos!K31)*11)/factor_trimestre," - ")))</f>
        <v>6.4027221777421932</v>
      </c>
      <c r="AP31" s="1131" t="str">
        <f>IF(ISNUMBER(Datos!CI31/Datos!CJ31),Datos!CI31/Datos!CJ31," - ")</f>
        <v xml:space="preserve"> - </v>
      </c>
      <c r="AQ31" s="1131">
        <f>IF(OR(ISNUMBER(FIND("01",Criterios!A8,1)),ISNUMBER(FIND("02",Criterios!A8,1)),ISNUMBER(FIND("03",Criterios!A8,1)),ISNUMBER(FIND("04",Criterios!A8,1))),(J31-Y31+K31)/(F31-K31),(I31-Y31+K31)/(F31-K31))</f>
        <v>-3.796208530805687</v>
      </c>
      <c r="AR31" s="1131">
        <f>IF(ISNUMBER((Datos!P31-Datos!Q31+O31)/(Datos!R31-Datos!P31+Datos!Q31-O31)),(Datos!P31-Datos!Q31+O31)/(Datos!R31-Datos!P31+Datos!Q31-O31)," - ")</f>
        <v>0.21266233766233766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107.41446209271201</v>
      </c>
      <c r="G33" s="674">
        <f>IF(ISNUMBER(STDEV(G8:G30)),STDEV(G8:G30),"-")</f>
        <v>115.86691873499898</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60.007142432023393</v>
      </c>
      <c r="AK33" s="276"/>
      <c r="AL33" s="276">
        <f>IF(ISNUMBER(STDEV(AL8:AL30)),STDEV(AL8:AL30),"-")</f>
        <v>0</v>
      </c>
      <c r="AM33" s="278">
        <f>IF(ISNUMBER(STDEV(AM8:AM30)),STDEV(AM8:AM30),"-")</f>
        <v>0</v>
      </c>
      <c r="AN33" s="660">
        <f>IF(ISNUMBER(STDEV(AN8:AN30)),STDEV(AN8:AN30),"-")</f>
        <v>0</v>
      </c>
      <c r="AO33" s="661">
        <f>IF(ISNUMBER(STDEV(AO8:AO30)),STDEV(AO8:AO30),"-")</f>
        <v>4.5163267823011877</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U0MKjvfT/ey3pkRyl1Sj9wPmbIC3AVtaSpLvHT6KT45qzCqV9qwdCZ0JxnG77PZID8lPykupHrnZpBYFhaMgBg==" saltValue="SLaqceDB+iKsPlHUf5IRF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VvGYPSGHCesaPA2rCL030ISRuBq8dBIEXQ7evwEV1L4YVDbtQnk/GGH7OtHR4z1JQtXhRrTnLWynoRswlIGVtg==" saltValue="E/P39RKU7bxNW3sQyCLNQ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ZowHptYC+faD4MUYI3BbopKXzLW4fr3vVxuTR0rJNurLFLNDO0jc9QusI8BA9oR/z6lExCopPaK4laefUsbzFA==" saltValue="p4LKyxfnzAreUTB18pXmk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EXTREMADURA</v>
      </c>
      <c r="F1" s="856"/>
    </row>
    <row r="2" spans="1:75" ht="16.5" customHeight="1">
      <c r="C2" s="567" t="str">
        <f>Criterios!A10 &amp;"  "&amp;Criterios!B10 &amp; "  " &amp; IF(NOT(ISBLANK(Criterios!A11)),Criterios!A11 &amp;"  "&amp;Criterios!B11,"")</f>
        <v>Provincias  BADAJOZ  Resumenes por Partidos Judiciales  CASTUERA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0.28453608247422679</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0.20119739340978052</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ERDyLYQe5Oq0PEZ1peOhfn9TeOFsIwlG3ZythlaCTeuuEjB01kYJ8uCY7ywR9B+sLTg4O2JbMDyW8zzVsN9ZQQ==" saltValue="3OjELAaNXCLB2MYW/SI+l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YYI0sukXcAObEXO/h2tbbXVZs8VO6m9Skthkh8AEMb6S7q4BTUTx1Hxy7RwVq1obXmsmNnxIJ7HYWVOsAXot0g==" saltValue="00ns9vrzi4wbU3H5QJ3sv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EXTREMADURA</v>
      </c>
      <c r="C2" s="436"/>
      <c r="D2" s="436"/>
      <c r="E2" s="436"/>
      <c r="F2" s="436"/>
    </row>
    <row r="3" spans="1:14" ht="19.5">
      <c r="A3" s="438" t="s">
        <v>159</v>
      </c>
      <c r="B3" s="439" t="str">
        <f>Criterios!A10 &amp;"  "&amp;Criterios!B10</f>
        <v>Provincias  BADAJOZ</v>
      </c>
      <c r="D3" s="436"/>
      <c r="E3" s="436"/>
      <c r="F3" s="436"/>
    </row>
    <row r="4" spans="1:14" ht="13.5" thickBot="1">
      <c r="A4" s="436"/>
      <c r="B4" s="439" t="str">
        <f>Criterios!A11 &amp;"  "&amp;Criterios!B11</f>
        <v>Resumenes por Partidos Judiciales  CASTUERA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1</v>
      </c>
      <c r="F10" s="452">
        <f>IF(ISNUMBER(E10/B10),E10/B10," - ")</f>
        <v>1</v>
      </c>
      <c r="G10" s="451">
        <f>IF(ISNUMBER(Datos!K10),Datos!K10," - ")</f>
        <v>3</v>
      </c>
      <c r="H10" s="452">
        <f>IF(ISNUMBER(G10/B10),G10/B10," - ")</f>
        <v>3</v>
      </c>
      <c r="I10" s="451">
        <f>IF(ISNUMBER(Datos!L10),Datos!L10," - ")</f>
        <v>0</v>
      </c>
      <c r="J10" s="452">
        <f>IF(ISNUMBER(I10/B10),I10/B10," - ")</f>
        <v>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414</v>
      </c>
      <c r="D12" s="452">
        <f>IF(ISNUMBER(C12/Datos!BH12),C12/Datos!BH12," - ")</f>
        <v>207</v>
      </c>
      <c r="E12" s="451">
        <f>IF(ISNUMBER(IF(J_V="SI",Datos!J12,Datos!J12+Datos!Z12)),IF(J_V="SI",Datos!J12,Datos!J12+Datos!Z12)," - ")</f>
        <v>607</v>
      </c>
      <c r="F12" s="452">
        <f>IF(ISNUMBER(E12/B12),E12/B12," - ")</f>
        <v>303.5</v>
      </c>
      <c r="G12" s="451">
        <f>IF(ISNUMBER(IF(J_V="SI",Datos!K12,Datos!K12+Datos!AA12)),IF(J_V="SI",Datos!K12,Datos!K12+Datos!AA12)," - ")</f>
        <v>482</v>
      </c>
      <c r="H12" s="452">
        <f>IF(ISNUMBER(G12/B12),G12/B12," - ")</f>
        <v>241</v>
      </c>
      <c r="I12" s="451">
        <f>IF(ISNUMBER(IF(J_V="SI",Datos!L12,Datos!L12+Datos!AB12)),IF(J_V="SI",Datos!L12,Datos!L12+Datos!AB12)," - ")</f>
        <v>495</v>
      </c>
      <c r="J12" s="452">
        <f>IF(ISNUMBER(I12/B12),I12/B12," - ")</f>
        <v>247.5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416</v>
      </c>
      <c r="D14" s="1147" t="str">
        <f>IF(ISNUMBER(C14/Datos!BI14),C14/Datos!BI14," - ")</f>
        <v xml:space="preserve"> - </v>
      </c>
      <c r="E14" s="1146">
        <f>SUBTOTAL(9,E8:E13)</f>
        <v>608</v>
      </c>
      <c r="F14" s="1147">
        <f>IF(ISNUMBER(E14/B14),E14/B14," - ")</f>
        <v>304</v>
      </c>
      <c r="G14" s="1146">
        <f>SUBTOTAL(9,G8:G13)</f>
        <v>485</v>
      </c>
      <c r="H14" s="1147">
        <f>IF(ISNUMBER(G14/B14),G14/B14," - ")</f>
        <v>242.5</v>
      </c>
      <c r="I14" s="1146">
        <f>SUBTOTAL(9,I8:I13)</f>
        <v>495</v>
      </c>
      <c r="J14" s="1147">
        <f>IF(ISNUMBER(I14/B14),I14/B14," - ")</f>
        <v>247.5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230</v>
      </c>
      <c r="D17" s="452">
        <f>IF(ISNUMBER(C17/Datos!BH17),C17/Datos!BH17," - ")</f>
        <v>115</v>
      </c>
      <c r="E17" s="451">
        <f>IF(ISNUMBER(IF(D_I="SI",Datos!J17,Datos!J17+Datos!AD17)),IF(D_I="SI",Datos!J17,Datos!J17+Datos!AD17)," - ")</f>
        <v>767</v>
      </c>
      <c r="F17" s="452">
        <f>IF(ISNUMBER(E17/B17),E17/B17," - ")</f>
        <v>383.5</v>
      </c>
      <c r="G17" s="451">
        <f>IF(ISNUMBER(IF(D_I="SI",Datos!K17,Datos!K17+Datos!AE17)),IF(D_I="SI",Datos!K17,Datos!K17+Datos!AE17)," - ")</f>
        <v>716</v>
      </c>
      <c r="H17" s="452">
        <f>IF(ISNUMBER(G17/B17),G17/B17," - ")</f>
        <v>358</v>
      </c>
      <c r="I17" s="451">
        <f>IF(ISNUMBER(IF(D_I="SI",Datos!L17,Datos!L17+Datos!AF17)),IF(D_I="SI",Datos!L17,Datos!L17+Datos!AF17)," - ")</f>
        <v>260</v>
      </c>
      <c r="J17" s="452">
        <f>IF(ISNUMBER(I17/B17),I17/B17," - ")</f>
        <v>130</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90</v>
      </c>
      <c r="F18" s="452">
        <f>IF(ISNUMBER(E18/B18),E18/B18," - ")</f>
        <v>90</v>
      </c>
      <c r="G18" s="451">
        <f>IF(ISNUMBER(IF(D_I="SI",Datos!K18,Datos!K18+Datos!AE18)),IF(D_I="SI",Datos!K18,Datos!K18+Datos!AE18)," - ")</f>
        <v>82</v>
      </c>
      <c r="H18" s="452">
        <f>IF(ISNUMBER(G18/B18),G18/B18," - ")</f>
        <v>82</v>
      </c>
      <c r="I18" s="451">
        <f>IF(ISNUMBER(IF(D_I="SI",Datos!L18,Datos!L18+Datos!AF18)),IF(D_I="SI",Datos!L18,Datos!L18+Datos!AF18)," - ")</f>
        <v>32</v>
      </c>
      <c r="J18" s="452">
        <f>IF(ISNUMBER(I18/B18),I18/B18," - ")</f>
        <v>32</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254</v>
      </c>
      <c r="D23" s="1147" t="str">
        <f>IF(ISNUMBER(C23/Datos!BI23),C23/Datos!BI23," - ")</f>
        <v xml:space="preserve"> - </v>
      </c>
      <c r="E23" s="1146">
        <f>SUBTOTAL(9,E15:E22)</f>
        <v>857</v>
      </c>
      <c r="F23" s="1147">
        <f>IF(ISNUMBER(E23/B23),E23/B23," - ")</f>
        <v>428.5</v>
      </c>
      <c r="G23" s="1146">
        <f>SUBTOTAL(9,G15:G22)</f>
        <v>798</v>
      </c>
      <c r="H23" s="1147">
        <f>IF(ISNUMBER(G23/B23),G23/B23," - ")</f>
        <v>399</v>
      </c>
      <c r="I23" s="1146">
        <f>SUBTOTAL(9,I15:I22)</f>
        <v>292</v>
      </c>
      <c r="J23" s="1147">
        <f>IF(ISNUMBER(I23/B23),I23/B23," - ")</f>
        <v>146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670</v>
      </c>
      <c r="D31" s="1085" t="str">
        <f>IF(ISNUMBER(C31/Datos!BI31),C31/Datos!BI31," - ")</f>
        <v xml:space="preserve"> - </v>
      </c>
      <c r="E31" s="1084">
        <f>SUBTOTAL(9,E9:E30)</f>
        <v>1465</v>
      </c>
      <c r="F31" s="1085">
        <f>IF(ISNUMBER(E31/B31),E31/B31," - ")</f>
        <v>732.5</v>
      </c>
      <c r="G31" s="1084">
        <f>SUBTOTAL(9,G9:G30)</f>
        <v>1283</v>
      </c>
      <c r="H31" s="1085">
        <f>IF(ISNUMBER(G31/B31),G31/B31," - ")</f>
        <v>641.5</v>
      </c>
      <c r="I31" s="1084">
        <f>SUBTOTAL(9,I9:I30)</f>
        <v>787</v>
      </c>
      <c r="J31" s="1085">
        <f>IF(ISNUMBER(I31/B31),I31/B31," - ")</f>
        <v>393.5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efe61d16JQwacBRYVs/HPU4Pj9XSovfuhLaSJxktR+m1dLOnXxxwx7HPoT/wIurQ5sK5R2Y3/DcTADsR/NLP/g==" saltValue="ly0jmxAGiXrQESL655Kwb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EXTREMADURA</v>
      </c>
      <c r="F1" s="856"/>
      <c r="W1"/>
      <c r="X1"/>
      <c r="BE1" s="856"/>
    </row>
    <row r="2" spans="1:65" ht="16.5" customHeight="1">
      <c r="C2" s="567" t="str">
        <f>Criterios!A10 &amp;"  "&amp;Criterios!B10 &amp; "  " &amp; IF(NOT(ISBLANK(Criterios!A11)),Criterios!A11 &amp;"  "&amp;Criterios!B11,"")</f>
        <v>Provincias  BADAJOZ  Resumenes por Partidos Judiciales  CASTUERA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v>
      </c>
      <c r="AC10" s="905" t="str">
        <f>IF(ISNUMBER(IF(D_I="SI",DatosP!K18,DatosP!K18+DatosP!AE18)),IF(D_I="SI",DatosP!K18,DatosP!K18+DatosP!AE18)," - ")</f>
        <v xml:space="preserve"> - </v>
      </c>
      <c r="AD10" s="907"/>
      <c r="AE10" s="907"/>
      <c r="AF10" s="910">
        <f>IF(ISNUMBER(Datos!L10),Datos!L10,"-")</f>
        <v>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0</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726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138</v>
      </c>
      <c r="AM12" s="914">
        <f>IF(ISNUMBER(Datos!N12+DatosP!N17),Datos!N12+DatosP!N17," - ")</f>
        <v>131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11.29668049792531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0.19604612850082373</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160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v>
      </c>
      <c r="AC14" s="1257">
        <f t="shared" si="1"/>
        <v>0</v>
      </c>
      <c r="AD14" s="1257">
        <f t="shared" si="1"/>
        <v>41</v>
      </c>
      <c r="AE14" s="1257">
        <f t="shared" si="1"/>
        <v>0</v>
      </c>
      <c r="AF14" s="1257">
        <f t="shared" si="1"/>
        <v>0</v>
      </c>
      <c r="AG14" s="1257">
        <f t="shared" si="1"/>
        <v>0</v>
      </c>
      <c r="AH14" s="1257">
        <f t="shared" si="1"/>
        <v>726</v>
      </c>
      <c r="AI14" s="1257">
        <f t="shared" si="1"/>
        <v>0</v>
      </c>
      <c r="AJ14" s="1257">
        <f t="shared" si="1"/>
        <v>0</v>
      </c>
      <c r="AK14" s="1257">
        <f t="shared" si="1"/>
        <v>0</v>
      </c>
      <c r="AL14" s="1257">
        <f t="shared" si="1"/>
        <v>138</v>
      </c>
      <c r="AM14" s="1257">
        <f t="shared" si="1"/>
        <v>131</v>
      </c>
      <c r="AN14" s="1257">
        <f t="shared" si="1"/>
        <v>0</v>
      </c>
      <c r="AO14" s="1257">
        <f t="shared" si="1"/>
        <v>0</v>
      </c>
      <c r="AP14" s="1262">
        <f>IF(ISNUMBER(((Datos!L14/Datos!K14)*11)/factor_trimestre),((Datos!L14/Datos!K14)*11)/factor_trimestre," - ")</f>
        <v>10.609756097560975</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-1.5</v>
      </c>
      <c r="AU14" s="1257" t="str">
        <f>IF(ISNUMBER((DatosP!#REF!-DatosP!#REF!+DatosP!#REF!)/(DatosP!#REF!+DatosP!#REF!-DatosP!#REF!-DatosP!#REF!)),(DatosP!#REF!-DatosP!#REF!+DatosP!#REF!)/(DatosP!#REF!+DatosP!#REF!-DatosP!#REF!-DatosP!#REF!)," - ")</f>
        <v xml:space="preserve"> - </v>
      </c>
      <c r="AV14" s="1263">
        <f>SUBTOTAL(9,AV9:AV13)</f>
        <v>0.19604612850082373</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4.0250626566416035</v>
      </c>
      <c r="AQ23" s="1262">
        <f>IF(ISNUMBER(((Datos!M23/Datos!L23)*11)/factor_trimestre),((Datos!M23/Datos!L23)*11)/factor_trimestre," - ")</f>
        <v>2.8630136986301369</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1.3333333333333333</v>
      </c>
      <c r="AW23" s="1265">
        <f>IF(ISNUMBER((Datos!Q23-Datos!R23)/(Datos!S23-Datos!Q23+Datos!R23)),(Datos!Q23-Datos!R23)/(Datos!S23-Datos!Q23+Datos!R23)," - ")</f>
        <v>-2.3668639053254437E-2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160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v>
      </c>
      <c r="AC31" s="1284">
        <f t="shared" si="9"/>
        <v>0</v>
      </c>
      <c r="AD31" s="1284">
        <f t="shared" si="9"/>
        <v>41</v>
      </c>
      <c r="AE31" s="1284">
        <f t="shared" si="9"/>
        <v>0</v>
      </c>
      <c r="AF31" s="1285">
        <f t="shared" si="9"/>
        <v>0</v>
      </c>
      <c r="AG31" s="1285">
        <f t="shared" si="9"/>
        <v>0</v>
      </c>
      <c r="AH31" s="1285">
        <f t="shared" si="9"/>
        <v>726</v>
      </c>
      <c r="AI31" s="1285">
        <f t="shared" si="9"/>
        <v>0</v>
      </c>
      <c r="AJ31" s="1286">
        <f t="shared" si="9"/>
        <v>0</v>
      </c>
      <c r="AK31" s="1286">
        <f t="shared" si="9"/>
        <v>0</v>
      </c>
      <c r="AL31" s="1278">
        <f t="shared" si="9"/>
        <v>138</v>
      </c>
      <c r="AM31" s="1278">
        <f t="shared" si="9"/>
        <v>131</v>
      </c>
      <c r="AN31" s="1278">
        <f t="shared" si="9"/>
        <v>0</v>
      </c>
      <c r="AO31" s="1278">
        <f t="shared" si="9"/>
        <v>0</v>
      </c>
      <c r="AP31" s="1278">
        <f>IF(ISNUMBER(((Datos!L31/Datos!K31)*11)/factor_trimestre),((Datos!L31/Datos!K31)*11)/factor_trimestre," - ")</f>
        <v>6.4027221777421932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0.21266233766233766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1.6431676725154984</v>
      </c>
      <c r="AC33" s="1008">
        <f>IF(ISNUMBER(STDEV(AC8:AC30)),STDEV(AC8:AC30),"-")</f>
        <v>0</v>
      </c>
      <c r="AD33" s="1011"/>
      <c r="AE33" s="1011"/>
      <c r="AF33" s="1011"/>
      <c r="AG33" s="1011"/>
      <c r="AH33" s="1011"/>
      <c r="AI33" s="1011"/>
      <c r="AJ33" s="1012">
        <f>IF(ISNUMBER(STDEV(AJ8:AJ30)),STDEV(AJ8:AJ30),"-")</f>
        <v>0</v>
      </c>
      <c r="AK33" s="1014"/>
      <c r="AL33" s="1006">
        <f>IF(ISNUMBER(STDEV(AL8:AL30)),STDEV(AL8:AL30),"-")</f>
        <v>71.262893570216463</v>
      </c>
      <c r="AM33" s="1006"/>
      <c r="AN33" s="1006">
        <f>IF(ISNUMBER(STDEV(AN8:AN30)),STDEV(AN8:AN30),"-")</f>
        <v>0</v>
      </c>
      <c r="AO33" s="1012">
        <f>IF(ISNUMBER(STDEV(AO8:AO30)),STDEV(AO8:AO30),"-")</f>
        <v>0</v>
      </c>
      <c r="AP33" s="1065">
        <f>IF(ISNUMBER(STDEV(AP8:AP30)),STDEV(AP8:AP30),"-")</f>
        <v>5.4244010651269692</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setnnr8zzBukiqGDdnrPJ1vJjvELt87p1EaHcawcLDYS5ISpS66SMCBXRkg2M7r9ENdE4l7BDTEYgzJ2oz5kbQ==" saltValue="YHQ0PLtEVQufqmZEBMHDB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EXTREMADURA</v>
      </c>
      <c r="C2" s="436"/>
      <c r="E2" s="436"/>
      <c r="F2" s="436"/>
      <c r="G2" s="436"/>
      <c r="H2" s="436"/>
    </row>
    <row r="3" spans="1:15" ht="39">
      <c r="A3" s="463" t="s">
        <v>280</v>
      </c>
      <c r="B3" s="439" t="str">
        <f>Criterios!A10 &amp;"  "&amp;Criterios!B10</f>
        <v>Provincias  BADAJOZ</v>
      </c>
      <c r="C3" s="463"/>
      <c r="F3" s="436"/>
      <c r="G3" s="436"/>
      <c r="H3" s="436"/>
    </row>
    <row r="4" spans="1:15" ht="13.5" thickBot="1">
      <c r="A4" s="436"/>
      <c r="B4" s="439" t="str">
        <f>Criterios!A11 &amp;"  "&amp;Criterios!B11</f>
        <v>Resumenes por Partidos Judiciales  CASTUERA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W6CSfPcFcxPp/8EX2HPRqtbIN3H1kHa8iBbZJ18tLMEaNa80WntIX9MnRVrOh8vquoC7gwZHVOlJTVYrbVF++g==" saltValue="t+OUex6s9SHKH6G74+dEl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EXTREMADURA</v>
      </c>
      <c r="C2" s="475"/>
      <c r="D2" s="418"/>
    </row>
    <row r="3" spans="1:9" ht="19.5">
      <c r="A3" s="476" t="s">
        <v>16</v>
      </c>
      <c r="B3" s="477" t="str">
        <f>Criterios!A10 &amp;"  "&amp;Criterios!B10</f>
        <v>Provincias  BADAJOZ</v>
      </c>
      <c r="C3" s="475"/>
      <c r="D3" s="476"/>
    </row>
    <row r="4" spans="1:9" ht="13.5" thickBot="1">
      <c r="B4" s="477" t="str">
        <f>Criterios!A11 &amp;"  "&amp;Criterios!B11</f>
        <v>Resumenes por Partidos Judiciales  CASTUERA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138</v>
      </c>
      <c r="E12" s="452">
        <f t="shared" si="0"/>
        <v>69</v>
      </c>
      <c r="F12" s="451">
        <f>IF(ISNUMBER(Datos!N12),Datos!N12," - ")</f>
        <v>131</v>
      </c>
      <c r="G12" s="452">
        <f t="shared" si="1"/>
        <v>65.5</v>
      </c>
      <c r="H12" s="451">
        <f>IF(ISNUMBER(Datos!O12),Datos!O12," - ")</f>
        <v>159</v>
      </c>
      <c r="I12" s="452">
        <f t="shared" si="2"/>
        <v>79.5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138</v>
      </c>
      <c r="E14" s="1147">
        <f t="shared" si="0"/>
        <v>46</v>
      </c>
      <c r="F14" s="1146">
        <f>SUBTOTAL(9,F9:F13)</f>
        <v>131</v>
      </c>
      <c r="G14" s="1147">
        <f t="shared" si="1"/>
        <v>43.666666666666664</v>
      </c>
      <c r="H14" s="1146">
        <f>SUBTOTAL(9,H9:H13)</f>
        <v>159</v>
      </c>
      <c r="I14" s="1147">
        <f>IF(ISNUMBER(H14/B14),H14/B14," - ")</f>
        <v>53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64</v>
      </c>
      <c r="E17" s="452">
        <f t="shared" si="3"/>
        <v>32</v>
      </c>
      <c r="F17" s="451">
        <f>IF(ISNUMBER(Datos!N17),Datos!N17," - ")</f>
        <v>459</v>
      </c>
      <c r="G17" s="452">
        <f t="shared" si="4"/>
        <v>229.5</v>
      </c>
      <c r="H17" s="451">
        <f>IF(ISNUMBER(Datos!O17),Datos!O17," - ")</f>
        <v>2</v>
      </c>
      <c r="I17" s="452">
        <f t="shared" si="5"/>
        <v>1</v>
      </c>
    </row>
    <row r="18" spans="1:9">
      <c r="A18" s="450" t="str">
        <f>Datos!A18</f>
        <v>Jdos. Violencia contra la mujer</v>
      </c>
      <c r="B18" s="480">
        <f>Datos!AO18</f>
        <v>1</v>
      </c>
      <c r="C18" s="481">
        <f>Datos!AQ18</f>
        <v>0</v>
      </c>
      <c r="D18" s="451">
        <f>IF(ISNUMBER(Datos!M18),Datos!M18," - ")</f>
        <v>12</v>
      </c>
      <c r="E18" s="452">
        <f>IF(ISNUMBER(D18/B18),D18/B18," - ")</f>
        <v>12</v>
      </c>
      <c r="F18" s="451">
        <f>IF(ISNUMBER(Datos!N18),Datos!N18," - ")</f>
        <v>35</v>
      </c>
      <c r="G18" s="452">
        <f>IF(ISNUMBER(F18/B18),F18/B18," - ")</f>
        <v>35</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76</v>
      </c>
      <c r="E23" s="1147">
        <f t="shared" si="3"/>
        <v>25.333333333333332</v>
      </c>
      <c r="F23" s="1146">
        <f>SUBTOTAL(9,F16:F22)</f>
        <v>494</v>
      </c>
      <c r="G23" s="1147">
        <f t="shared" si="4"/>
        <v>164.66666666666666</v>
      </c>
      <c r="H23" s="1146">
        <f>SUBTOTAL(9,H16:H22)</f>
        <v>2</v>
      </c>
      <c r="I23" s="1147">
        <f>IF(ISNUMBER(H23/B23),H23/B23," - ")</f>
        <v>0.66666666666666663</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214</v>
      </c>
      <c r="E31" s="1085">
        <f>IF(ISNUMBER(D31/B31),D31/B31," - ")</f>
        <v>107</v>
      </c>
      <c r="F31" s="1084">
        <f>SUBTOTAL(9,F8:F30)</f>
        <v>625</v>
      </c>
      <c r="G31" s="1085">
        <f>IF(ISNUMBER(F31/B31),F31/B31," - ")</f>
        <v>312.5</v>
      </c>
      <c r="H31" s="1084">
        <f>SUBTOTAL(9,H8:H30)</f>
        <v>161</v>
      </c>
      <c r="I31" s="1085">
        <f>IF(ISNUMBER(H31/B31),H31/B31," - ")</f>
        <v>80.5</v>
      </c>
    </row>
    <row r="34" spans="1:1">
      <c r="A34" s="439" t="str">
        <f>Criterios!A4</f>
        <v>Fecha Informe: 14 abr. 2023</v>
      </c>
    </row>
    <row r="39" spans="1:1">
      <c r="A39" s="462"/>
    </row>
  </sheetData>
  <sheetProtection algorithmName="SHA-512" hashValue="4HT8RnNOTBGgll+9plms73lL2cmq2X0cHrpVmYhoHv9y4y9D39vktvbGSZYzMl6lTQzcBQ8dOp1jei/9o/47TA==" saltValue="oQBiN/iI6fCiJUI74vmiA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EXTREMADURA</v>
      </c>
    </row>
    <row r="3" spans="1:4" ht="19.5">
      <c r="A3" s="484" t="s">
        <v>48</v>
      </c>
      <c r="B3" s="439" t="str">
        <f>Criterios!A10 &amp;"  "&amp;Criterios!B10</f>
        <v>Provincias  BADAJOZ</v>
      </c>
    </row>
    <row r="4" spans="1:4" ht="13.5" thickBot="1">
      <c r="B4" s="439" t="str">
        <f>Criterios!A11 &amp;"  "&amp;Criterios!B11</f>
        <v>Resumenes por Partidos Judiciales  CASTUERA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160</v>
      </c>
      <c r="C12" s="489">
        <f>IF(ISNUMBER(Datos!Q12),Datos!Q12," - ")</f>
        <v>41</v>
      </c>
      <c r="D12" s="456">
        <f>IF(ISNUMBER(Datos!R12),Datos!R12," - ")</f>
        <v>726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160</v>
      </c>
      <c r="C14" s="1150">
        <f>SUBTOTAL(9,C9:C13)</f>
        <v>41</v>
      </c>
      <c r="D14" s="1148">
        <f>SUBTOTAL(9,D9:D13)</f>
        <v>726</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23</v>
      </c>
      <c r="C17" s="489">
        <f>IF(ISNUMBER(Datos!Q17),Datos!Q17," - ")</f>
        <v>12</v>
      </c>
      <c r="D17" s="456">
        <f>IF(ISNUMBER(Datos!R17),Datos!R17," - ")</f>
        <v>19</v>
      </c>
    </row>
    <row r="18" spans="1:4">
      <c r="A18" s="450" t="str">
        <f>Datos!A18</f>
        <v>Jdos. Violencia contra la mujer</v>
      </c>
      <c r="B18" s="488">
        <f>IF(ISNUMBER(Datos!P18),Datos!P18," - ")</f>
        <v>2</v>
      </c>
      <c r="C18" s="489">
        <f>IF(ISNUMBER(Datos!Q18),Datos!Q18," - ")</f>
        <v>1</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25</v>
      </c>
      <c r="C23" s="1150">
        <f>SUBTOTAL(9,C16:C22)</f>
        <v>13</v>
      </c>
      <c r="D23" s="1148">
        <f>SUBTOTAL(9,D16:D22)</f>
        <v>21</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185</v>
      </c>
      <c r="C31" s="1089">
        <f>SUBTOTAL(9,C8:C30)</f>
        <v>54</v>
      </c>
      <c r="D31" s="1090">
        <f>SUBTOTAL(9,D8:D30)</f>
        <v>747</v>
      </c>
    </row>
    <row r="32" spans="1:4" ht="7.5" customHeight="1"/>
    <row r="33" spans="1:1" ht="6" customHeight="1"/>
    <row r="34" spans="1:1">
      <c r="A34" s="439" t="str">
        <f>Criterios!A4</f>
        <v>Fecha Informe: 14 abr. 2023</v>
      </c>
    </row>
    <row r="39" spans="1:1">
      <c r="A39" s="462"/>
    </row>
  </sheetData>
  <sheetProtection algorithmName="SHA-512" hashValue="C3ltZEPTosb9050qdBKXZs1k5488v4sGnioL5MqT8VN71mC4pLIsTn9V7aA6JpoApc1NRc+VLxXSETHTixz3WQ==" saltValue="gVK47XdzWfPEWmEYBY+h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EXTREMADURA</v>
      </c>
    </row>
    <row r="3" spans="1:11" ht="18.75" customHeight="1">
      <c r="A3" s="484" t="s">
        <v>162</v>
      </c>
      <c r="B3" s="439" t="str">
        <f>Criterios!A10 &amp;"  "&amp;Criterios!B10</f>
        <v>Provincias  BADAJOZ</v>
      </c>
    </row>
    <row r="4" spans="1:11" ht="10.5" customHeight="1" thickBot="1">
      <c r="B4" s="439" t="str">
        <f>Criterios!A11 &amp;"  "&amp;Criterios!B11</f>
        <v>Resumenes por Partidos Judiciales  CASTUERA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1</v>
      </c>
      <c r="C10" s="515">
        <f>IF(ISNUMBER((Datos!J10-Datos!T10)/Datos!T10),(Datos!J10-Datos!T10)/Datos!T10," - ")</f>
        <v>0</v>
      </c>
      <c r="D10" s="515" t="str">
        <f>IF(ISNUMBER((Datos!K10-Datos!U10)/Datos!U10),(Datos!K10-Datos!U10)/Datos!U10," - ")</f>
        <v xml:space="preserve"> - </v>
      </c>
      <c r="E10" s="515">
        <f>IF(ISNUMBER((Datos!L10-Datos!V10)/Datos!V10),(Datos!L10-Datos!V10)/Datos!V10," - ")</f>
        <v>-1</v>
      </c>
      <c r="F10" s="515" t="str">
        <f>IF(ISNUMBER((Datos!M10-Datos!W10)/Datos!W10),(Datos!M10-Datos!W10)/Datos!W10," - ")</f>
        <v xml:space="preserve"> - </v>
      </c>
      <c r="G10" s="516" t="str">
        <f>IF(ISNUMBER((Datos!N10-Datos!X10)/Datos!X10),(Datos!N10-Datos!X10)/Datos!X10," - ")</f>
        <v xml:space="preserve"> - </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9.5238095238095233E-2</v>
      </c>
      <c r="C12" s="515">
        <f>IF(ISNUMBER(
   IF(J_V="SI",(Datos!J12-Datos!T12)/Datos!T12,(Datos!J12+Datos!Z12-(Datos!T12+Datos!AH12))/(Datos!T12+Datos!AH12))
     ),IF(J_V="SI",(Datos!J12-Datos!T12)/Datos!T12,(Datos!J12+Datos!Z12-(Datos!T12+Datos!AH12))/(Datos!T12+Datos!AH12))," - ")</f>
        <v>5.7491289198606271E-2</v>
      </c>
      <c r="D12" s="515">
        <f>IF(ISNUMBER(
   IF(J_V="SI",(Datos!K12-Datos!U12)/Datos!U12,(Datos!K12+Datos!AA12-(Datos!U12+Datos!AI12))/(Datos!U12+Datos!AI12))
     ),IF(J_V="SI",(Datos!K12-Datos!U12)/Datos!U12,(Datos!K12+Datos!AA12-(Datos!U12+Datos!AI12))/(Datos!U12+Datos!AI12))," - ")</f>
        <v>4.1036717062634988E-2</v>
      </c>
      <c r="E12" s="515">
        <f>IF(ISNUMBER(
   IF(J_V="SI",(Datos!L12-Datos!V12)/Datos!V12,(Datos!L12+Datos!AB12-(Datos!V12+Datos!AJ12))/(Datos!V12+Datos!AJ12))
     ),IF(J_V="SI",(Datos!L12-Datos!V12)/Datos!V12,(Datos!L12+Datos!AB12-(Datos!V12+Datos!AJ12))/(Datos!V12+Datos!AJ12))," - ")</f>
        <v>0.19565217391304349</v>
      </c>
      <c r="F12" s="515">
        <f>IF(ISNUMBER((Datos!M12-Datos!W12)/Datos!W12),(Datos!M12-Datos!W12)/Datos!W12," - ")</f>
        <v>0.32692307692307693</v>
      </c>
      <c r="G12" s="516">
        <f>IF(ISNUMBER((Datos!N12-Datos!X12)/Datos!X12),(Datos!N12-Datos!X12)/Datos!X12," - ")</f>
        <v>-0.1761006289308176</v>
      </c>
      <c r="H12" s="514">
        <f>IF(ISNUMBER(((NºAsuntos!G12/NºAsuntos!E12)-Datos!BD12)/Datos!BD12),((NºAsuntos!G12/NºAsuntos!E12)-Datos!BD12)/Datos!BD12," - ")</f>
        <v>-1.5560007258727455E-2</v>
      </c>
      <c r="I12" s="515">
        <f>IF(ISNUMBER(((NºAsuntos!I12/NºAsuntos!G12)-Datos!BE12)/Datos!BE12),((NºAsuntos!I12/NºAsuntos!G12)-Datos!BE12)/Datos!BE12," - ")</f>
        <v>0.14852065668410591</v>
      </c>
      <c r="J12" s="521">
        <f>IF(ISNUMBER((('Resol  Asuntos'!D12/NºAsuntos!G12)-Datos!BF12)/Datos!BF12),(('Resol  Asuntos'!D12/NºAsuntos!G12)-Datos!BF12)/Datos!BF12," - ")</f>
        <v>-0.16628826430752378</v>
      </c>
      <c r="K12" s="522">
        <f>IF(ISNUMBER((((NºAsuntos!C12+NºAsuntos!E12)/NºAsuntos!G12)-Datos!BG12)/Datos!BG12),(((NºAsuntos!C12+NºAsuntos!E12)/NºAsuntos!G12)-Datos!BG12)/Datos!BG12," - ")</f>
        <v>3.0202848774364476E-2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9.7625329815303433E-2</v>
      </c>
      <c r="C14" s="1152">
        <f>IF(ISNUMBER(
   IF(J_V="SI",(Datos!J14-Datos!T14)/Datos!T14,(Datos!J14+Datos!Z14-(Datos!T14+Datos!AH14))/(Datos!T14+Datos!AH14))
     ),IF(J_V="SI",(Datos!J14-Datos!T14)/Datos!T14,(Datos!J14+Datos!Z14-(Datos!T14+Datos!AH14))/(Datos!T14+Datos!AH14))," - ")</f>
        <v>5.7391304347826085E-2</v>
      </c>
      <c r="D14" s="1152">
        <f>IF(ISNUMBER(
   IF(J_V="SI",(Datos!K14-Datos!U14)/Datos!U14,(Datos!K14+Datos!AA14-(Datos!U14+Datos!AI14))/(Datos!U14+Datos!AI14))
     ),IF(J_V="SI",(Datos!K14-Datos!U14)/Datos!U14,(Datos!K14+Datos!AA14-(Datos!U14+Datos!AI14))/(Datos!U14+Datos!AI14))," - ")</f>
        <v>4.7516198704103674E-2</v>
      </c>
      <c r="E14" s="1152">
        <f>IF(ISNUMBER(
   IF(J_V="SI",(Datos!L14-Datos!V14)/Datos!V14,(Datos!L14+Datos!AB14-(Datos!V14+Datos!AJ14))/(Datos!V14+Datos!AJ14))
     ),IF(J_V="SI",(Datos!L14-Datos!V14)/Datos!V14,(Datos!L14+Datos!AB14-(Datos!V14+Datos!AJ14))/(Datos!V14+Datos!AJ14))," - ")</f>
        <v>0.18990384615384615</v>
      </c>
      <c r="F14" s="1153">
        <f>IF(ISNUMBER((Datos!M14-Datos!W14)/Datos!W14),(Datos!M14-Datos!W14)/Datos!W14," - ")</f>
        <v>0.32692307692307693</v>
      </c>
      <c r="G14" s="1154">
        <f>IF(ISNUMBER((Datos!N14-Datos!X14)/Datos!X14),(Datos!N14-Datos!X14)/Datos!X14," - ")</f>
        <v>-0.1761006289308176</v>
      </c>
      <c r="H14" s="1154">
        <f>IF(ISNUMBER(((NºAsuntos!G14/NºAsuntos!E14)-Datos!BD14)/Datos!BD14),((NºAsuntos!G14/NºAsuntos!E14)-Datos!BD14)/Datos!BD14," - ")</f>
        <v>-9.33912129134923E-3</v>
      </c>
      <c r="I14" s="1154">
        <f>IF(ISNUMBER(((NºAsuntos!I14/NºAsuntos!G14)-Datos!BE14)/Datos!BE14),((NºAsuntos!I14/NºAsuntos!G14)-Datos!BE14)/Datos!BE14," - ")</f>
        <v>0.13592882632831083</v>
      </c>
      <c r="J14" s="1154">
        <f>IF(ISNUMBER((('Resol  Asuntos'!D14/NºAsuntos!G14)-Datos!BF14)/Datos!BF14),(('Resol  Asuntos'!D14/NºAsuntos!G14)-Datos!BF14)/Datos!BF14," - ")</f>
        <v>-0.17144524411593084</v>
      </c>
      <c r="K14" s="1154">
        <f>IF(ISNUMBER((((NºAsuntos!C14+NºAsuntos!E14)/NºAsuntos!G14)-Datos!BG14)/Datos!BG14),(((NºAsuntos!C14+NºAsuntos!E14)/NºAsuntos!G14)-Datos!BG14)/Datos!BG14," - ")</f>
        <v>2.4686074909766865E-2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-0.26517571884984026</v>
      </c>
      <c r="C17" s="515">
        <f>IF(ISNUMBER(
   IF(D_I="SI",(Datos!J17-Datos!T17)/Datos!T17,(Datos!J17+Datos!AD17-(Datos!T17+Datos!AL17))/(Datos!T17+Datos!AL17))
     ),IF(D_I="SI",(Datos!J17-Datos!T17)/Datos!T17,(Datos!J17+Datos!AD17-(Datos!T17+Datos!AL17))/(Datos!T17+Datos!AL17))," - ")</f>
        <v>0.16565349544072949</v>
      </c>
      <c r="D17" s="515">
        <f>IF(ISNUMBER(
   IF(D_I="SI",(Datos!K17-Datos!U17)/Datos!U17,(Datos!K17+Datos!AE17-(Datos!U17+Datos!AM17))/(Datos!U17+Datos!AM17))
     ),IF(D_I="SI",(Datos!K17-Datos!U17)/Datos!U17,(Datos!K17+Datos!AE17-(Datos!U17+Datos!AM17))/(Datos!U17+Datos!AM17))," - ")</f>
        <v>0.14376996805111822</v>
      </c>
      <c r="E17" s="515">
        <f>IF(ISNUMBER(
   IF(D_I="SI",(Datos!L17-Datos!V17)/Datos!V17,(Datos!L17+Datos!AF17-(Datos!V17+Datos!AN17))/(Datos!V17+Datos!AN17))
     ),IF(D_I="SI",(Datos!L17-Datos!V17)/Datos!V17,(Datos!L17+Datos!AF17-(Datos!V17+Datos!AN17))/(Datos!V17+Datos!AN17))," - ")</f>
        <v>0.13043478260869565</v>
      </c>
      <c r="F17" s="515">
        <f>IF(ISNUMBER((Datos!M17-Datos!W17)/Datos!W17),(Datos!M17-Datos!W17)/Datos!W17," - ")</f>
        <v>-0.32631578947368423</v>
      </c>
      <c r="G17" s="516">
        <f>IF(ISNUMBER((Datos!N17-Datos!X17)/Datos!X17),(Datos!N17-Datos!X17)/Datos!X17," - ")</f>
        <v>0.38253012048192769</v>
      </c>
      <c r="H17" s="514">
        <f>IF(ISNUMBER(((NºAsuntos!G17/NºAsuntos!E17)-Datos!BD17)/Datos!BD17),((NºAsuntos!G17/NºAsuntos!E17)-Datos!BD17)/Datos!BD17," - ")</f>
        <v>-1.8773612806211447E-2</v>
      </c>
      <c r="I17" s="515">
        <f>IF(ISNUMBER(((NºAsuntos!I17/NºAsuntos!G17)-Datos!BE17)/Datos!BE17),((NºAsuntos!I17/NºAsuntos!G17)-Datos!BE17)/Datos!BE17," - ")</f>
        <v>-1.1658974981782833E-2</v>
      </c>
      <c r="J17" s="521">
        <f>IF(ISNUMBER((('Resol  Asuntos'!D17/NºAsuntos!G17)-Datos!BF17)/Datos!BF17),(('Resol  Asuntos'!D17/NºAsuntos!G17)-Datos!BF17)/Datos!BF17," - ")</f>
        <v>-0.41099676565715965</v>
      </c>
      <c r="K17" s="522">
        <f>IF(ISNUMBER((((NºAsuntos!C17+NºAsuntos!E17)/NºAsuntos!G17)-Datos!BG17)/Datos!BG17),(((NºAsuntos!C17+NºAsuntos!E17)/NºAsuntos!G17)-Datos!BG17)/Datos!BG17," - ")</f>
        <v>-0.10228756853787782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0.41176470588235292</v>
      </c>
      <c r="C18" s="515">
        <f>IF(ISNUMBER(
   IF(D_I="SI",(Datos!J18-Datos!T18)/Datos!T18,(Datos!J18+Datos!AD18-(Datos!T18+Datos!AL18))/(Datos!T18+Datos!AL18))
     ),IF(D_I="SI",(Datos!J18-Datos!T18)/Datos!T18,(Datos!J18+Datos!AD18-(Datos!T18+Datos!AL18))/(Datos!T18+Datos!AL18))," - ")</f>
        <v>0.26760563380281688</v>
      </c>
      <c r="D18" s="515">
        <f>IF(ISNUMBER(
   IF(D_I="SI",(Datos!K18-Datos!U18)/Datos!U18,(Datos!K18+Datos!AE18-(Datos!U18+Datos!AM18))/(Datos!U18+Datos!AM18))
     ),IF(D_I="SI",(Datos!K18-Datos!U18)/Datos!U18,(Datos!K18+Datos!AE18-(Datos!U18+Datos!AM18))/(Datos!U18+Datos!AM18))," - ")</f>
        <v>0.28125</v>
      </c>
      <c r="E18" s="515">
        <f>IF(ISNUMBER(
   IF(D_I="SI",(Datos!L18-Datos!V18)/Datos!V18,(Datos!L18+Datos!AF18-(Datos!V18+Datos!AN18))/(Datos!V18+Datos!AN18))
     ),IF(D_I="SI",(Datos!L18-Datos!V18)/Datos!V18,(Datos!L18+Datos!AF18-(Datos!V18+Datos!AN18))/(Datos!V18+Datos!AN18))," - ")</f>
        <v>0.33333333333333331</v>
      </c>
      <c r="F18" s="515">
        <f>IF(ISNUMBER((Datos!M18-Datos!W18)/Datos!W18),(Datos!M18-Datos!W18)/Datos!W18," - ")</f>
        <v>-0.29411764705882354</v>
      </c>
      <c r="G18" s="516">
        <f>IF(ISNUMBER((Datos!N18-Datos!X18)/Datos!X18),(Datos!N18-Datos!X18)/Datos!X18," - ")</f>
        <v>1.0588235294117647</v>
      </c>
      <c r="H18" s="514">
        <f>IF(ISNUMBER(((NºAsuntos!G18/NºAsuntos!E18)-Datos!BD18)/Datos!BD18),((NºAsuntos!G18/NºAsuntos!E18)-Datos!BD18)/Datos!BD18," - ")</f>
        <v>1.0763888888888847E-2</v>
      </c>
      <c r="I18" s="515">
        <f>IF(ISNUMBER(((NºAsuntos!I18/NºAsuntos!G18)-Datos!BE18)/Datos!BE18),((NºAsuntos!I18/NºAsuntos!G18)-Datos!BE18)/Datos!BE18," - ")</f>
        <v>4.0650406504065074E-2</v>
      </c>
      <c r="J18" s="521">
        <f>IF(ISNUMBER((('Resol  Asuntos'!D18/NºAsuntos!G18)-Datos!BF18)/Datos!BF18),(('Resol  Asuntos'!D18/NºAsuntos!G18)-Datos!BF18)/Datos!BF18," - ")</f>
        <v>-0.44906743185078912</v>
      </c>
      <c r="K18" s="522">
        <f>IF(ISNUMBER((((NºAsuntos!C18+NºAsuntos!E18)/NºAsuntos!G18)-Datos!BG18)/Datos!BG18),(((NºAsuntos!C18+NºAsuntos!E18)/NºAsuntos!G18)-Datos!BG18)/Datos!BG18," - ")</f>
        <v>1.1086474501108577E-2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-0.23030303030303031</v>
      </c>
      <c r="C23" s="1152">
        <f>IF(ISNUMBER(
   IF(Criterios!B14="SI",(Datos!J23-Datos!T23)/Datos!T23,(Datos!J23+Datos!AD23-(Datos!T23+Datos!AL23))/(Datos!T23+Datos!AL23))
     ),IF(Criterios!B14="SI",(Datos!J23-Datos!T23)/Datos!T23,(Datos!J23+Datos!AD23-(Datos!T23+Datos!AL23))/(Datos!T23+Datos!AL23))," - ")</f>
        <v>0.1755829903978052</v>
      </c>
      <c r="D23" s="1152">
        <f>IF(ISNUMBER(
   IF(Criterios!B14="SI",(Datos!K23-Datos!U23)/Datos!U23,(Datos!K23+Datos!AE23-(Datos!U23+Datos!AM23))/(Datos!U23+Datos!AM23))
     ),IF(Criterios!B14="SI",(Datos!K23-Datos!U23)/Datos!U23,(Datos!K23+Datos!AE23-(Datos!U23+Datos!AM23))/(Datos!U23+Datos!AM23))," - ")</f>
        <v>0.15652173913043479</v>
      </c>
      <c r="E23" s="1152">
        <f>IF(ISNUMBER(
   IF(Criterios!B14="SI",(Datos!L23-Datos!V23)/Datos!V23,(Datos!L23+Datos!AF23-(Datos!V23+Datos!AN23))/(Datos!V23+Datos!AN23))
     ),IF(Criterios!B14="SI",(Datos!L23-Datos!V23)/Datos!V23,(Datos!L23+Datos!AF23-(Datos!V23+Datos!AN23))/(Datos!V23+Datos!AN23))," - ")</f>
        <v>0.14960629921259844</v>
      </c>
      <c r="F23" s="1153">
        <f>IF(ISNUMBER((Datos!M23-Datos!W23)/Datos!W23),(Datos!M23-Datos!W23)/Datos!W23," - ")</f>
        <v>-0.32142857142857145</v>
      </c>
      <c r="G23" s="1154">
        <f>IF(ISNUMBER((Datos!N23-Datos!X23)/Datos!X23),(Datos!N23-Datos!X23)/Datos!X23," - ")</f>
        <v>0.41547277936962751</v>
      </c>
      <c r="H23" s="1154">
        <f>IF(ISNUMBER(((NºAsuntos!G23/NºAsuntos!E23)-Datos!BD23)/Datos!BD23),((NºAsuntos!G23/NºAsuntos!E23)-Datos!BD23)/Datos!BD23," - ")</f>
        <v>-1.6214296585662862E-2</v>
      </c>
      <c r="I23" s="1154">
        <f>IF(ISNUMBER(((NºAsuntos!I23/NºAsuntos!G23)-Datos!BE23)/Datos!BE23),((NºAsuntos!I23/NºAsuntos!G23)-Datos!BE23)/Datos!BE23," - ")</f>
        <v>-5.9795157184299955E-3</v>
      </c>
      <c r="J23" s="1154">
        <f>IF(ISNUMBER((('Resol  Asuntos'!D23/NºAsuntos!G23)-Datos!BF23)/Datos!BF23),(('Resol  Asuntos'!D23/NºAsuntos!G23)-Datos!BF23)/Datos!BF23," - ")</f>
        <v>-0.41326530612244899</v>
      </c>
      <c r="K23" s="1154">
        <f>IF(ISNUMBER((((NºAsuntos!C23+NºAsuntos!E23)/NºAsuntos!G23)-Datos!BG23)/Datos!BG23),(((NºAsuntos!C23+NºAsuntos!E23)/NºAsuntos!G23)-Datos!BG23)/Datos!BG23," - ")</f>
        <v>-9.2880927531292873E-2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-5.5007052186177713E-2</v>
      </c>
      <c r="C31" s="1092">
        <f>IF(ISNUMBER(
   IF(J_V="SI",(Datos!J31-Datos!T31)/Datos!T31,(Datos!J31+Datos!Z31-(Datos!T31+Datos!AH31))/(Datos!T31+Datos!AH31))
     ),IF(J_V="SI",(Datos!J31-Datos!T31)/Datos!T31,(Datos!J31+Datos!Z31-(Datos!T31+Datos!AH31))/(Datos!T31+Datos!AH31))," - ")</f>
        <v>0.12346625766871165</v>
      </c>
      <c r="D31" s="1092">
        <f>IF(ISNUMBER(
   IF(J_V="SI",(Datos!K31-Datos!U31)/Datos!U31,(Datos!K31+Datos!AA31-(Datos!U31+Datos!AI31))/(Datos!U31+Datos!AI31))
     ),IF(J_V="SI",(Datos!K31-Datos!U31)/Datos!U31,(Datos!K31+Datos!AA31-(Datos!U31+Datos!AI31))/(Datos!U31+Datos!AI31))," - ")</f>
        <v>0.11274934952298352</v>
      </c>
      <c r="E31" s="1092">
        <f>IF(ISNUMBER(
   IF(J_V="SI",(Datos!L31-Datos!V31)/Datos!V31,(Datos!L31+Datos!AB31-(Datos!V31+Datos!AJ31))/(Datos!V31+Datos!AJ31))
     ),IF(J_V="SI",(Datos!L31-Datos!V31)/Datos!V31,(Datos!L31+Datos!AB31-(Datos!V31+Datos!AJ31))/(Datos!V31+Datos!AJ31))," - ")</f>
        <v>0.17462686567164179</v>
      </c>
      <c r="F31" s="1093">
        <f>IF(ISNUMBER((Datos!M31-Datos!W31)/Datos!W31),(Datos!M31-Datos!W31)/Datos!W31," - ")</f>
        <v>-9.2592592592592587E-3</v>
      </c>
      <c r="G31" s="1094">
        <f>IF(ISNUMBER((Datos!N31-Datos!X31)/Datos!X31),(Datos!N31-Datos!X31)/Datos!X31," - ")</f>
        <v>0.23031496062992127</v>
      </c>
      <c r="H31" s="1095">
        <f>IF(ISNUMBER((Tasas!B31-Datos!BD31)/Datos!BD31),(Tasas!B31-Datos!BD31)/Datos!BD31," - ")</f>
        <v>-9.5391455440473529E-3</v>
      </c>
      <c r="I31" s="1096">
        <f>IF(ISNUMBER((Tasas!C31-Datos!BE31)/Datos!BE31),(Tasas!C31-Datos!BE31)/Datos!BE31," - ")</f>
        <v>5.5607775619176139E-2</v>
      </c>
      <c r="J31" s="1097">
        <f>IF(ISNUMBER((Tasas!D31-Datos!BF31)/Datos!BF31),(Tasas!D31-Datos!BF31)/Datos!BF31," - ")</f>
        <v>-0.29034521833916699</v>
      </c>
      <c r="K31" s="1097">
        <f>IF(ISNUMBER((Tasas!E31-Datos!BG31)/Datos!BG31),(Tasas!E31-Datos!BG31)/Datos!BG31," - ")</f>
        <v>-4.6859869151373405E-2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Q+pQ2+ZG+qGHBKl9lY5T36ZIkQcWUPHRzKqMV+OC9LGBEEhjCtqM+WpsVHiz4YpfPjeSP4N3URYNSmO4X/vg==" saltValue="c+3uoCvBiHPcVp1w5MGT+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EXTREMADURA</v>
      </c>
    </row>
    <row r="3" spans="1:7" ht="19.5">
      <c r="A3" s="491" t="s">
        <v>17</v>
      </c>
      <c r="B3" s="439" t="str">
        <f>Criterios!A10 &amp;"  "&amp;Criterios!B10</f>
        <v>Provincias  BADAJOZ</v>
      </c>
    </row>
    <row r="4" spans="1:7" ht="11.25" customHeight="1" thickBot="1">
      <c r="B4" s="439" t="str">
        <f>Criterios!A11 &amp;"  "&amp;Criterios!B11</f>
        <v>Resumenes por Partidos Judiciales  CASTUERA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3</v>
      </c>
      <c r="C10" s="498">
        <f>IF(ISNUMBER(NºAsuntos!I10/NºAsuntos!G10),NºAsuntos!I10/NºAsuntos!G10," - ")</f>
        <v>0</v>
      </c>
      <c r="D10" s="499">
        <f>IF(ISNUMBER('Resol  Asuntos'!D10/NºAsuntos!G10),'Resol  Asuntos'!D10/NºAsuntos!G10," - ")</f>
        <v>0</v>
      </c>
      <c r="E10" s="500">
        <f>IF(ISNUMBER((NºAsuntos!C10+NºAsuntos!E10)/NºAsuntos!G10),(NºAsuntos!C10+NºAsuntos!E10)/NºAsuntos!G10," - ")</f>
        <v>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0.79406919275123555</v>
      </c>
      <c r="C12" s="498">
        <f>IF(ISNUMBER(NºAsuntos!I12/NºAsuntos!G12),NºAsuntos!I12/NºAsuntos!G12," - ")</f>
        <v>1.0269709543568464</v>
      </c>
      <c r="D12" s="499">
        <f>IF(ISNUMBER('Resol  Asuntos'!D12/NºAsuntos!G12),'Resol  Asuntos'!D12/NºAsuntos!G12," - ")</f>
        <v>0.2863070539419087</v>
      </c>
      <c r="E12" s="500">
        <f>IF(ISNUMBER((NºAsuntos!C12+NºAsuntos!E12)/NºAsuntos!G12),(NºAsuntos!C12+NºAsuntos!E12)/NºAsuntos!G12," - ")</f>
        <v>2.1182572614107884</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0.79769736842105265</v>
      </c>
      <c r="C14" s="1156">
        <f>IF(ISNUMBER(NºAsuntos!I14/NºAsuntos!G14),NºAsuntos!I14/NºAsuntos!G14," - ")</f>
        <v>1.0206185567010309</v>
      </c>
      <c r="D14" s="1157">
        <f>IF(ISNUMBER('Resol  Asuntos'!D14/NºAsuntos!G14),'Resol  Asuntos'!D14/NºAsuntos!G14," - ")</f>
        <v>0.28453608247422679</v>
      </c>
      <c r="E14" s="1158">
        <f>IF(ISNUMBER((NºAsuntos!C14+NºAsuntos!E14)/NºAsuntos!G14),(NºAsuntos!C14+NºAsuntos!E14)/NºAsuntos!G14," - ")</f>
        <v>2.1113402061855671</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0.93350717079530643</v>
      </c>
      <c r="C17" s="498">
        <f>IF(ISNUMBER(NºAsuntos!I17/NºAsuntos!G17),NºAsuntos!I17/NºAsuntos!G17," - ")</f>
        <v>0.36312849162011174</v>
      </c>
      <c r="D17" s="499">
        <f>IF(ISNUMBER('Resol  Asuntos'!D17/NºAsuntos!G17),'Resol  Asuntos'!D17/NºAsuntos!G17," - ")</f>
        <v>8.9385474860335198E-2</v>
      </c>
      <c r="E17" s="500">
        <f>IF(ISNUMBER((NºAsuntos!C17+NºAsuntos!E17)/NºAsuntos!G17),(NºAsuntos!C17+NºAsuntos!E17)/NºAsuntos!G17," - ")</f>
        <v>1.3924581005586592</v>
      </c>
      <c r="G17" s="523"/>
    </row>
    <row r="18" spans="1:7">
      <c r="A18" s="450" t="str">
        <f>Datos!A18</f>
        <v>Jdos. Violencia contra la mujer</v>
      </c>
      <c r="B18" s="497">
        <f>IF(ISNUMBER(NºAsuntos!G18/NºAsuntos!E18),NºAsuntos!G18/NºAsuntos!E18," - ")</f>
        <v>0.91111111111111109</v>
      </c>
      <c r="C18" s="498">
        <f>IF(ISNUMBER(NºAsuntos!I18/NºAsuntos!G18),NºAsuntos!I18/NºAsuntos!G18," - ")</f>
        <v>0.3902439024390244</v>
      </c>
      <c r="D18" s="499">
        <f>IF(ISNUMBER('Resol  Asuntos'!D18/NºAsuntos!G18),'Resol  Asuntos'!D18/NºAsuntos!G18," - ")</f>
        <v>0.14634146341463414</v>
      </c>
      <c r="E18" s="500">
        <f>IF(ISNUMBER((NºAsuntos!C18+NºAsuntos!E18)/NºAsuntos!G18),(NºAsuntos!C18+NºAsuntos!E18)/NºAsuntos!G18," - ")</f>
        <v>1.3902439024390243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0.93115519253208867</v>
      </c>
      <c r="C23" s="1156">
        <f>IF(ISNUMBER(NºAsuntos!I23/NºAsuntos!G23),NºAsuntos!I23/NºAsuntos!G23," - ")</f>
        <v>0.36591478696741853</v>
      </c>
      <c r="D23" s="1159">
        <f>IF(ISNUMBER('Resol  Asuntos'!D23/NºAsuntos!G23),'Resol  Asuntos'!D23/NºAsuntos!G23," - ")</f>
        <v>9.5238095238095233E-2</v>
      </c>
      <c r="E23" s="1158">
        <f>IF(ISNUMBER((NºAsuntos!C23+NºAsuntos!E23)/NºAsuntos!G23),(NºAsuntos!C23+NºAsuntos!E23)/NºAsuntos!G23," - ")</f>
        <v>1.3922305764411027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0.87576791808873722</v>
      </c>
      <c r="C31" s="1099">
        <f>IF(ISNUMBER(NºAsuntos!I31/NºAsuntos!G31),NºAsuntos!I31/NºAsuntos!G31," - ")</f>
        <v>0.6134060795011691</v>
      </c>
      <c r="D31" s="1100">
        <f>IF(ISNUMBER('Resol  Asuntos'!D31/NºAsuntos!G31),'Resol  Asuntos'!D31/NºAsuntos!G31," - ")</f>
        <v>0.16679657053780203</v>
      </c>
      <c r="E31" s="1101">
        <f>IF(ISNUMBER((NºAsuntos!C31+NºAsuntos!E31)/NºAsuntos!G31),(NºAsuntos!C31+NºAsuntos!E31)/NºAsuntos!G31," - ")</f>
        <v>1.6640685892439595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jbWCJlSYax6NpQmQmvfXFANgsiWqYiBqCFdKCewbBE/6DHUUE6jQMI7u42Bw+/IF9cagCnPOms+xSavxvS+oQ==" saltValue="02bMbhp4Bm0SIuax8kq6U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EXTREMADURA</v>
      </c>
      <c r="G2" s="369"/>
      <c r="H2" s="368"/>
      <c r="I2" s="368"/>
      <c r="J2" s="368"/>
      <c r="K2" s="368"/>
      <c r="L2" s="368" t="str">
        <f>Criterios!A10 &amp;"  "&amp;Criterios!B10</f>
        <v>Provincias  BADAJOZ</v>
      </c>
      <c r="N2" s="368" t="str">
        <f>Criterios!A11 &amp;"  "&amp;Criterios!B11</f>
        <v>Resumenes por Partidos Judiciales  CASTUERA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v>
      </c>
      <c r="X10" s="240">
        <f>IF(ISNUMBER(Datos!Q10),Datos!Q10," - ")</f>
        <v>0</v>
      </c>
      <c r="Y10" s="374">
        <f t="shared" ref="Y10:Y13" si="0">SUM(W10:X10)</f>
        <v>3</v>
      </c>
      <c r="Z10" s="375" t="str">
        <f>IF(ISNUMBER(Datos!CC10),Datos!CC10," - ")</f>
        <v xml:space="preserve"> - </v>
      </c>
      <c r="AA10" s="372">
        <f>IF(ISNUMBER(Datos!L10),Datos!L10,"-")</f>
        <v>0</v>
      </c>
      <c r="AB10" s="374">
        <f>IF(ISNUMBER(Datos!R10),Datos!R10," - ")</f>
        <v>0</v>
      </c>
      <c r="AC10" s="374">
        <f t="shared" ref="AC10:AC13" si="1">IF(ISNUMBER(AA10+AB10),AA10+AB10," - ")</f>
        <v>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3</v>
      </c>
      <c r="AM10" s="284">
        <f>IF(ISNUMBER(((NºAsuntos!I10/NºAsuntos!G10)*11)/factor_trimestre),((NºAsuntos!I10/NºAsuntos!G10)*11)/factor_trimestre," - ")</f>
        <v>0</v>
      </c>
      <c r="AN10" s="267">
        <f>IF(ISNUMBER('Resol  Asuntos'!D10/NºAsuntos!G10),'Resol  Asuntos'!D10/NºAsuntos!G10," - ")</f>
        <v>0</v>
      </c>
      <c r="AO10" s="268">
        <f>IF(ISNUMBER((NºAsuntos!C10+NºAsuntos!E10)/NºAsuntos!G10),(NºAsuntos!C10+NºAsuntos!E10)/NºAsuntos!G10," - ")</f>
        <v>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v>
      </c>
      <c r="Y12" s="374">
        <f t="shared" si="0"/>
        <v>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726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138</v>
      </c>
      <c r="AJ12" s="243" t="str">
        <f>IF(ISNUMBER(Datos!BW12),Datos!BW12," - ")</f>
        <v xml:space="preserve"> - </v>
      </c>
      <c r="AK12" s="242" t="str">
        <f>IF(ISNUMBER(Datos!BX12),Datos!BX12," - ")</f>
        <v xml:space="preserve"> - </v>
      </c>
      <c r="AL12" s="266">
        <f>IF(ISNUMBER(NºAsuntos!G12/NºAsuntos!E12),NºAsuntos!G12/NºAsuntos!E12," - ")</f>
        <v>0.79406919275123555</v>
      </c>
      <c r="AM12" s="284">
        <f>IF(ISNUMBER(((NºAsuntos!I12/NºAsuntos!G12)*11)/factor_trimestre),((NºAsuntos!I12/NºAsuntos!G12)*11)/factor_trimestre," - ")</f>
        <v>11.29668049792531</v>
      </c>
      <c r="AN12" s="267">
        <f>IF(ISNUMBER('Resol  Asuntos'!D12/NºAsuntos!G12),'Resol  Asuntos'!D12/NºAsuntos!G12," - ")</f>
        <v>0.2863070539419087</v>
      </c>
      <c r="AO12" s="268">
        <f>IF(ISNUMBER((NºAsuntos!C12+NºAsuntos!E12)/NºAsuntos!G12),(NºAsuntos!C12+NºAsuntos!E12)/NºAsuntos!G12," - ")</f>
        <v>2.1182572614107884</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2</v>
      </c>
      <c r="G14" s="1163">
        <f t="shared" si="5"/>
        <v>2</v>
      </c>
      <c r="H14" s="1162">
        <f t="shared" si="5"/>
        <v>0</v>
      </c>
      <c r="I14" s="1164">
        <f t="shared" si="5"/>
        <v>0</v>
      </c>
      <c r="J14" s="1164">
        <f t="shared" si="5"/>
        <v>0</v>
      </c>
      <c r="K14" s="1164">
        <f t="shared" si="5"/>
        <v>0</v>
      </c>
      <c r="L14" s="1164">
        <f t="shared" si="5"/>
        <v>160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v>
      </c>
      <c r="X14" s="1164">
        <f t="shared" si="6"/>
        <v>41</v>
      </c>
      <c r="Y14" s="1165">
        <f t="shared" si="6"/>
        <v>44</v>
      </c>
      <c r="Z14" s="1165">
        <f t="shared" si="6"/>
        <v>0</v>
      </c>
      <c r="AA14" s="1165">
        <f t="shared" si="6"/>
        <v>0</v>
      </c>
      <c r="AB14" s="1165">
        <f t="shared" si="6"/>
        <v>726</v>
      </c>
      <c r="AC14" s="1165">
        <f t="shared" si="6"/>
        <v>0</v>
      </c>
      <c r="AD14" s="1165">
        <f t="shared" si="6"/>
        <v>0</v>
      </c>
      <c r="AE14" s="1169">
        <f t="shared" si="6"/>
        <v>0</v>
      </c>
      <c r="AF14" s="1162">
        <f t="shared" si="6"/>
        <v>0</v>
      </c>
      <c r="AG14" s="1170">
        <f t="shared" si="6"/>
        <v>0</v>
      </c>
      <c r="AH14" s="1167">
        <f t="shared" si="6"/>
        <v>0</v>
      </c>
      <c r="AI14" s="1162">
        <f t="shared" si="6"/>
        <v>138</v>
      </c>
      <c r="AJ14" s="1164">
        <f t="shared" si="6"/>
        <v>0</v>
      </c>
      <c r="AK14" s="1167">
        <f>SUBTOTAL(9,AK9:AK13)</f>
        <v>0</v>
      </c>
      <c r="AL14" s="1171">
        <f>IF(ISNUMBER(NºAsuntos!G14/NºAsuntos!E14),NºAsuntos!G14/NºAsuntos!E14," - ")</f>
        <v>0.79769736842105265</v>
      </c>
      <c r="AM14" s="1171">
        <f>IF(ISNUMBER(((NºAsuntos!I14/NºAsuntos!G14)*11)/factor_trimestre),((NºAsuntos!I14/NºAsuntos!G14)*11)/factor_trimestre," - ")</f>
        <v>11.226804123711339</v>
      </c>
      <c r="AN14" s="1172">
        <f>IF(ISNUMBER('Resol  Asuntos'!D14/NºAsuntos!G14),'Resol  Asuntos'!D14/NºAsuntos!G14," - ")</f>
        <v>0.28453608247422679</v>
      </c>
      <c r="AO14" s="1173">
        <f>IF(ISNUMBER((NºAsuntos!C14+NºAsuntos!E14)/NºAsuntos!G14),(NºAsuntos!C14+NºAsuntos!E14)/NºAsuntos!G14," - ")</f>
        <v>2.1113402061855671</v>
      </c>
      <c r="AP14" s="1174" t="str">
        <f t="shared" si="2"/>
        <v xml:space="preserve"> - </v>
      </c>
      <c r="AQ14" s="1174">
        <f>IF(ISNUMBER((H14-W14+K14)/(F14)),(H14-W14+K14)/(F14)," - ")</f>
        <v>-1.5</v>
      </c>
      <c r="AR14" s="1175">
        <f>IF(ISNUMBER((Datos!P14-Datos!Q14)/(Datos!R14-Datos!P14+Datos!Q14)),(Datos!P14-Datos!Q14)/(Datos!R14-Datos!P14+Datos!Q14)," - ")</f>
        <v>0.19604612850082373</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209</v>
      </c>
      <c r="G17" s="373">
        <f>IF(ISNUMBER(IF(D_I="SI",Datos!I17,Datos!I17+Datos!AC17)),IF(D_I="SI",Datos!I17,Datos!I17+Datos!AC17)," - ")</f>
        <v>230</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23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716</v>
      </c>
      <c r="X17" s="240">
        <f>IF(ISNUMBER(Datos!Q17),Datos!Q17," - ")</f>
        <v>12</v>
      </c>
      <c r="Y17" s="374">
        <f t="shared" ref="Y17:Y22" si="9">SUM(W17:X17)</f>
        <v>728</v>
      </c>
      <c r="Z17" s="375" t="str">
        <f>IF(ISNUMBER(Datos!CC17),Datos!CC17," - ")</f>
        <v xml:space="preserve"> - </v>
      </c>
      <c r="AA17" s="372">
        <f>IF(ISNUMBER(IF(D_I="SI",Datos!L17,Datos!L17+Datos!AF17)),IF(D_I="SI",Datos!L17,Datos!L17+Datos!AF17)," - ")</f>
        <v>260</v>
      </c>
      <c r="AB17" s="374">
        <f>IF(ISNUMBER(Datos!R17),Datos!R17," - ")</f>
        <v>19</v>
      </c>
      <c r="AC17" s="374">
        <f t="shared" si="8"/>
        <v>279</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64</v>
      </c>
      <c r="AJ17" s="245" t="str">
        <f>IF(ISNUMBER(Datos!BW17),Datos!BW17," - ")</f>
        <v xml:space="preserve"> - </v>
      </c>
      <c r="AK17" s="246" t="str">
        <f>IF(ISNUMBER(Datos!BX17),Datos!BX17," - ")</f>
        <v xml:space="preserve"> - </v>
      </c>
      <c r="AL17" s="266">
        <f>IF(ISNUMBER(NºAsuntos!G17/NºAsuntos!E17),NºAsuntos!G17/NºAsuntos!E17," - ")</f>
        <v>0.93350717079530643</v>
      </c>
      <c r="AM17" s="284">
        <f>IF(ISNUMBER(((NºAsuntos!I17/NºAsuntos!G17)*11)/factor_trimestre),((NºAsuntos!I17/NºAsuntos!G17)*11)/factor_trimestre," - ")</f>
        <v>3.994413407821229</v>
      </c>
      <c r="AN17" s="267">
        <f>IF(ISNUMBER('Resol  Asuntos'!D17/NºAsuntos!G17),'Resol  Asuntos'!D17/NºAsuntos!G17," - ")</f>
        <v>8.9385474860335198E-2</v>
      </c>
      <c r="AO17" s="268">
        <f>IF(ISNUMBER((NºAsuntos!C17+NºAsuntos!E17)/NºAsuntos!G17),(NºAsuntos!C17+NºAsuntos!E17)/NºAsuntos!G17," - ")</f>
        <v>1.3924581005586592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82</v>
      </c>
      <c r="X18" s="240">
        <f>IF(ISNUMBER(Datos!Q18),Datos!Q18," - ")</f>
        <v>1</v>
      </c>
      <c r="Y18" s="374">
        <f t="shared" si="9"/>
        <v>83</v>
      </c>
      <c r="Z18" s="375" t="str">
        <f>IF(ISNUMBER(Datos!CC18),Datos!CC18," - ")</f>
        <v xml:space="preserve"> - </v>
      </c>
      <c r="AA18" s="372">
        <f>IF(ISNUMBER(Datos!L18),Datos!L18,"-")</f>
        <v>32</v>
      </c>
      <c r="AB18" s="374">
        <f>IF(ISNUMBER(Datos!R18),Datos!R18," - ")</f>
        <v>2</v>
      </c>
      <c r="AC18" s="374">
        <f t="shared" si="8"/>
        <v>34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12</v>
      </c>
      <c r="AJ18" s="245" t="str">
        <f>IF(ISNUMBER(Datos!BW18),Datos!BW18," - ")</f>
        <v xml:space="preserve"> - </v>
      </c>
      <c r="AK18" s="246" t="str">
        <f>IF(ISNUMBER(Datos!BX18),Datos!BX18," - ")</f>
        <v xml:space="preserve"> - </v>
      </c>
      <c r="AL18" s="266">
        <f>IF(ISNUMBER(NºAsuntos!G18/NºAsuntos!E18),NºAsuntos!G18/NºAsuntos!E18," - ")</f>
        <v>0.91111111111111109</v>
      </c>
      <c r="AM18" s="284">
        <f>IF(ISNUMBER(((NºAsuntos!I18/NºAsuntos!G18)*11)/factor_trimestre),((NºAsuntos!I18/NºAsuntos!G18)*11)/factor_trimestre," - ")</f>
        <v>4.2926829268292686</v>
      </c>
      <c r="AN18" s="267">
        <f>IF(ISNUMBER('Resol  Asuntos'!D18/NºAsuntos!G18),'Resol  Asuntos'!D18/NºAsuntos!G18," - ")</f>
        <v>0.14634146341463414</v>
      </c>
      <c r="AO18" s="268">
        <f>IF(ISNUMBER((NºAsuntos!C18+NºAsuntos!E18)/NºAsuntos!G18),(NºAsuntos!C18+NºAsuntos!E18)/NºAsuntos!G18," - ")</f>
        <v>1.3902439024390243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209</v>
      </c>
      <c r="G23" s="1163">
        <f>SUBTOTAL(9,G16:G22)</f>
        <v>254</v>
      </c>
      <c r="H23" s="1162">
        <f t="shared" ref="H23:O23" si="13">SUBTOTAL(9,H15:H22)</f>
        <v>0</v>
      </c>
      <c r="I23" s="1164">
        <f t="shared" si="13"/>
        <v>0</v>
      </c>
      <c r="J23" s="1164">
        <f t="shared" si="13"/>
        <v>0</v>
      </c>
      <c r="K23" s="1164">
        <f t="shared" si="13"/>
        <v>0</v>
      </c>
      <c r="L23" s="1164">
        <f t="shared" si="13"/>
        <v>25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798</v>
      </c>
      <c r="X23" s="1164">
        <f t="shared" si="14"/>
        <v>13</v>
      </c>
      <c r="Y23" s="1165">
        <f t="shared" si="14"/>
        <v>811</v>
      </c>
      <c r="Z23" s="1165">
        <f t="shared" si="14"/>
        <v>0</v>
      </c>
      <c r="AA23" s="1165">
        <f t="shared" si="14"/>
        <v>292</v>
      </c>
      <c r="AB23" s="1165">
        <f t="shared" si="14"/>
        <v>21</v>
      </c>
      <c r="AC23" s="1165">
        <f t="shared" si="14"/>
        <v>313</v>
      </c>
      <c r="AD23" s="1165">
        <f t="shared" si="14"/>
        <v>0</v>
      </c>
      <c r="AE23" s="1169">
        <f t="shared" si="14"/>
        <v>0</v>
      </c>
      <c r="AF23" s="1162">
        <f t="shared" si="14"/>
        <v>0</v>
      </c>
      <c r="AG23" s="1170">
        <f t="shared" si="14"/>
        <v>0</v>
      </c>
      <c r="AH23" s="1167">
        <f t="shared" si="14"/>
        <v>0</v>
      </c>
      <c r="AI23" s="1162">
        <f t="shared" si="14"/>
        <v>76</v>
      </c>
      <c r="AJ23" s="1164">
        <f t="shared" si="14"/>
        <v>0</v>
      </c>
      <c r="AK23" s="1167">
        <f t="shared" si="14"/>
        <v>0</v>
      </c>
      <c r="AL23" s="1171">
        <f>IF(ISNUMBER(NºAsuntos!G23/NºAsuntos!E23),NºAsuntos!G23/NºAsuntos!E23," - ")</f>
        <v>0.93115519253208867</v>
      </c>
      <c r="AM23" s="1171">
        <f>IF(ISNUMBER(((NºAsuntos!I23/NºAsuntos!G23)*11)/factor_trimestre),((NºAsuntos!I23/NºAsuntos!G23)*11)/factor_trimestre," - ")</f>
        <v>4.0250626566416035</v>
      </c>
      <c r="AN23" s="1172">
        <f>IF(ISNUMBER('Resol  Asuntos'!D23/NºAsuntos!G23),'Resol  Asuntos'!D23/NºAsuntos!G23," - ")</f>
        <v>9.5238095238095233E-2</v>
      </c>
      <c r="AO23" s="1173">
        <f>IF(ISNUMBER((NºAsuntos!C23+NºAsuntos!E23)/NºAsuntos!G23),(NºAsuntos!C23+NºAsuntos!E23)/NºAsuntos!G23," - ")</f>
        <v>1.3922305764411027</v>
      </c>
      <c r="AP23" s="1174" t="str">
        <f t="shared" si="2"/>
        <v xml:space="preserve"> - </v>
      </c>
      <c r="AQ23" s="1174">
        <f>IF(ISNUMBER((H23-W23+K23)/(F23)),(H23-W23+K23)/(F23)," - ")</f>
        <v>-3.8181818181818183</v>
      </c>
      <c r="AR23" s="1175">
        <f>IF(ISNUMBER((Datos!P23-Datos!Q23)/(Datos!R23-Datos!P23+Datos!Q23)),(Datos!P23-Datos!Q23)/(Datos!R23-Datos!P23+Datos!Q23)," - ")</f>
        <v>1.3333333333333333</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211</v>
      </c>
      <c r="G31" s="1118">
        <f t="shared" si="20"/>
        <v>256</v>
      </c>
      <c r="H31" s="1117">
        <f t="shared" si="20"/>
        <v>0</v>
      </c>
      <c r="I31" s="1119">
        <f t="shared" si="20"/>
        <v>0</v>
      </c>
      <c r="J31" s="1119">
        <f t="shared" si="20"/>
        <v>0</v>
      </c>
      <c r="K31" s="1180">
        <f t="shared" si="20"/>
        <v>0</v>
      </c>
      <c r="L31" s="1119">
        <f t="shared" si="20"/>
        <v>185</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801</v>
      </c>
      <c r="X31" s="1118">
        <f t="shared" si="21"/>
        <v>54</v>
      </c>
      <c r="Y31" s="1125">
        <f t="shared" si="21"/>
        <v>855</v>
      </c>
      <c r="Z31" s="1125">
        <f t="shared" si="21"/>
        <v>0</v>
      </c>
      <c r="AA31" s="1125">
        <f t="shared" si="21"/>
        <v>292</v>
      </c>
      <c r="AB31" s="1125">
        <f t="shared" si="21"/>
        <v>747</v>
      </c>
      <c r="AC31" s="1125">
        <f t="shared" si="21"/>
        <v>313</v>
      </c>
      <c r="AD31" s="1125">
        <f t="shared" si="21"/>
        <v>0</v>
      </c>
      <c r="AE31" s="1127">
        <f t="shared" si="21"/>
        <v>0</v>
      </c>
      <c r="AF31" s="1128">
        <f t="shared" si="21"/>
        <v>0</v>
      </c>
      <c r="AG31" s="1129">
        <f t="shared" si="21"/>
        <v>0</v>
      </c>
      <c r="AH31" s="1127">
        <f t="shared" si="21"/>
        <v>0</v>
      </c>
      <c r="AI31" s="1117">
        <f t="shared" si="21"/>
        <v>214</v>
      </c>
      <c r="AJ31" s="1117">
        <f t="shared" si="21"/>
        <v>0</v>
      </c>
      <c r="AK31" s="1127">
        <f t="shared" si="21"/>
        <v>0</v>
      </c>
      <c r="AL31" s="1183">
        <f>IF(ISNUMBER(NºAsuntos!G31/NºAsuntos!E31),NºAsuntos!G31/NºAsuntos!E31," - ")</f>
        <v>0.87576791808873722</v>
      </c>
      <c r="AM31" s="1184">
        <f>IF(ISNUMBER(((NºAsuntos!I31/NºAsuntos!G31)*11)/factor_trimestre),((NºAsuntos!I31/NºAsuntos!G31)*11)/factor_trimestre," - ")</f>
        <v>6.7474668745128596</v>
      </c>
      <c r="AN31" s="1184">
        <f>IF(ISNUMBER('Resol  Asuntos'!D31/NºAsuntos!G31),'Resol  Asuntos'!D31/NºAsuntos!G31," - ")</f>
        <v>0.16679657053780203</v>
      </c>
      <c r="AO31" s="1185">
        <f>IF(ISNUMBER((NºAsuntos!C31+NºAsuntos!E31)/NºAsuntos!G31),(NºAsuntos!C31+NºAsuntos!E31)/NºAsuntos!G31," - ")</f>
        <v>1.6640685892439595</v>
      </c>
      <c r="AP31" s="1186" t="str">
        <f t="shared" si="2"/>
        <v xml:space="preserve"> - </v>
      </c>
      <c r="AQ31" s="1187">
        <f>IF(OR(ISNUMBER(FIND("01",Criterios!A8,1)),ISNUMBER(FIND("02",Criterios!A8,1)),ISNUMBER(FIND("03",Criterios!A8,1)),ISNUMBER(FIND("04",Criterios!A8,1))),(I31-W31+K31)/(F31-K31),(H31-W31+K31)/(F31-K31))</f>
        <v>-3.796208530805687</v>
      </c>
      <c r="AR31" s="1188">
        <f>IF(ISNUMBER((Datos!P31-Datos!Q31)/(Datos!R31-Datos!P31+Datos!Q31)),(Datos!P31-Datos!Q31)/(Datos!R31-Datos!P31+Datos!Q31)," - ")</f>
        <v>0.21266233766233766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107.41446209271201</v>
      </c>
      <c r="G33" s="277">
        <f>IF(ISNUMBER(STDEV(G8:G30)),STDEV(G8:G30),"-")</f>
        <v>115.86691873499898</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362.7609077484455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60.007142432023393</v>
      </c>
      <c r="AJ33" s="276">
        <f t="shared" si="25"/>
        <v>0</v>
      </c>
      <c r="AK33" s="278">
        <f t="shared" si="25"/>
        <v>0</v>
      </c>
      <c r="AL33" s="273">
        <f t="shared" si="25"/>
        <v>0.87048281993810772</v>
      </c>
      <c r="AM33" s="274">
        <f t="shared" si="25"/>
        <v>4.5163267823011877</v>
      </c>
      <c r="AN33" s="274">
        <f t="shared" si="25"/>
        <v>0.11477403651502166</v>
      </c>
      <c r="AO33" s="275">
        <f t="shared" si="25"/>
        <v>0.4503178223363189</v>
      </c>
      <c r="AP33" s="317" t="str">
        <f t="shared" si="25"/>
        <v>-</v>
      </c>
      <c r="AQ33" s="318">
        <f t="shared" si="25"/>
        <v>1.6392020836597234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R4fq7J6PVv4cfivzbJViwWbJsKGv0CYS1QKsn3oDgBl81MNTGovVkd9mmFLRNOv/R2XJdFu2rbTltq7DkhFk0Q==" saltValue="ZhvI6EfrhC7eICF3Rn8rt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EXTREMADURA</v>
      </c>
      <c r="E2" s="287"/>
    </row>
    <row r="3" spans="2:20" ht="17.25" customHeight="1">
      <c r="C3" s="291"/>
      <c r="D3" s="286" t="str">
        <f>Criterios!A10 &amp;"  "&amp;Criterios!B10</f>
        <v>Provincias  BADAJOZ</v>
      </c>
      <c r="E3" s="287"/>
    </row>
    <row r="4" spans="2:20" ht="17.25" customHeight="1" thickBot="1">
      <c r="D4" s="286" t="str">
        <f>Criterios!A11 &amp;"  "&amp;Criterios!B11</f>
        <v>Resumenes por Partidos Judiciales  CASTUERA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1</v>
      </c>
      <c r="E10" s="393">
        <f>IF(ISNUMBER((Datos!J10-Datos!T10)/Datos!T10),(Datos!J10-Datos!T10)/Datos!T10," - ")</f>
        <v>0</v>
      </c>
      <c r="F10" s="393" t="str">
        <f>IF(ISNUMBER((Datos!K10-Datos!U10)/Datos!U10),(Datos!K10-Datos!U10)/Datos!U10," - ")</f>
        <v xml:space="preserve"> - </v>
      </c>
      <c r="G10" s="394">
        <f>IF(ISNUMBER((Datos!L10-Datos!V10)/Datos!V10),(Datos!L10-Datos!V10)/Datos!V10," - ")</f>
        <v>-1</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0.32692307692307693</v>
      </c>
      <c r="I12" s="395">
        <f>IF(ISNUMBER((Tasas!C12-Datos!BE12)/Datos!BE12),(Tasas!C12-Datos!BE12)/Datos!BE12," - ")</f>
        <v>0.14852065668410591</v>
      </c>
      <c r="J12" s="394">
        <f>IF(ISNUMBER((Tasas!D12-Datos!BF12)/Datos!BF12),(Tasas!D12-Datos!BF12)/Datos!BF12," - ")</f>
        <v>-0.16628826430752378</v>
      </c>
      <c r="K12" s="396">
        <f>IF(ISNUMBER((Tasas!E12-Datos!BG12)/Datos!BG12),(Tasas!E12-Datos!BG12)/Datos!BG12," - ")</f>
        <v>3.0202848774364476E-2</v>
      </c>
      <c r="M12" t="e">
        <f>IF(Monitorios="SI",Datos!CE12,0)</f>
        <v>#REF!</v>
      </c>
      <c r="N12" t="e">
        <f>IF(Monitorios="SI",Datos!CF12,0)</f>
        <v>#REF!</v>
      </c>
      <c r="O12" t="e">
        <f>IF(Monitorios="SI",Datos!CG12,0)</f>
        <v>#REF!</v>
      </c>
      <c r="P12" t="e">
        <f>IF(Monitorios="SI",Datos!CH12,0)</f>
        <v>#REF!</v>
      </c>
      <c r="Q12">
        <f>IF(J_V="SI",0,Datos!AG12)</f>
        <v>43</v>
      </c>
      <c r="R12">
        <f>IF(J_V="SI",0,Datos!AH12)</f>
        <v>51</v>
      </c>
      <c r="S12">
        <f>IF(J_V="SI",0,Datos!AI12)</f>
        <v>52</v>
      </c>
      <c r="T12">
        <f>IF(J_V="SI",0,Datos!AJ12)</f>
        <v>42</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0.32692307692307693</v>
      </c>
      <c r="I14" s="402">
        <f>IF(ISNUMBER((Tasas!C14-Datos!BE14)/Datos!BE14),(Tasas!C14-Datos!BE14)/Datos!BE14," - ")</f>
        <v>0.13592882632831083</v>
      </c>
      <c r="J14" s="400">
        <f>IF(ISNUMBER((Tasas!D14-Datos!BF14)/Datos!BF14),(Tasas!D14-Datos!BF14)/Datos!BF14," - ")</f>
        <v>-0.17144524411593084</v>
      </c>
      <c r="K14" s="403">
        <f>IF(ISNUMBER((Tasas!E14-Datos!BG14)/Datos!BG14),(Tasas!E14-Datos!BG14)/Datos!BG14," - ")</f>
        <v>2.4686074909766865E-2</v>
      </c>
      <c r="M14" t="e">
        <f>IF(Monitorios="SI",Datos!CE14,0)</f>
        <v>#REF!</v>
      </c>
      <c r="N14" t="e">
        <f>IF(Monitorios="SI",Datos!CF14,0)</f>
        <v>#REF!</v>
      </c>
      <c r="O14" t="e">
        <f>IF(Monitorios="SI",Datos!CG14,0)</f>
        <v>#REF!</v>
      </c>
      <c r="P14" t="e">
        <f>IF(Monitorios="SI",Datos!CH14,0)</f>
        <v>#REF!</v>
      </c>
      <c r="Q14">
        <f>IF(J_V="SI",0,Datos!AG14)</f>
        <v>43</v>
      </c>
      <c r="R14">
        <f>IF(J_V="SI",0,Datos!AH14)</f>
        <v>51</v>
      </c>
      <c r="S14">
        <f>IF(J_V="SI",0,Datos!AI14)</f>
        <v>52</v>
      </c>
      <c r="T14">
        <f>IF(J_V="SI",0,Datos!AJ14)</f>
        <v>42</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-0.26517571884984026</v>
      </c>
      <c r="E17" s="393">
        <f>IF(ISNUMBER(
   IF(D_I="SI",(Datos!J17-Datos!T17)/Datos!T17,(Datos!J17+Datos!AD17-(Datos!T17+Datos!AL17))/(Datos!T17+Datos!AL17))
     ),IF(D_I="SI",(Datos!J17-Datos!T17)/Datos!T17,(Datos!J17+Datos!AD17-(Datos!T17+Datos!AL17))/(Datos!T17+Datos!AL17))," - ")</f>
        <v>0.16565349544072949</v>
      </c>
      <c r="F17" s="393">
        <f>IF(ISNUMBER(
   IF(D_I="SI",(Datos!K17-Datos!U17)/Datos!U17,(Datos!K17+Datos!AE17-(Datos!U17+Datos!AM17))/(Datos!U17+Datos!AM17))
     ),IF(D_I="SI",(Datos!K17-Datos!U17)/Datos!U17,(Datos!K17+Datos!AE17-(Datos!U17+Datos!AM17))/(Datos!U17+Datos!AM17))," - ")</f>
        <v>0.14376996805111822</v>
      </c>
      <c r="G17" s="394">
        <f>IF(ISNUMBER(
   IF(D_I="SI",(Datos!L17-Datos!V17)/Datos!V17,(Datos!L17+Datos!AF17-(Datos!V17+Datos!AN17))/(Datos!V17+Datos!AN17))
     ),IF(D_I="SI",(Datos!L17-Datos!V17)/Datos!V17,(Datos!L17+Datos!AF17-(Datos!V17+Datos!AN17))/(Datos!V17+Datos!AN17))," - ")</f>
        <v>0.13043478260869565</v>
      </c>
      <c r="H17" s="244">
        <f>IF(ISNUMBER((Datos!M17-Datos!W17)/Datos!W17),(Datos!M17-Datos!W17)/Datos!W17," - ")</f>
        <v>-0.32631578947368423</v>
      </c>
      <c r="I17" s="395">
        <f>IF(ISNUMBER((Tasas!C17-Datos!BE17)/Datos!BE17),(Tasas!C17-Datos!BE17)/Datos!BE17," - ")</f>
        <v>-1.1658974981782833E-2</v>
      </c>
      <c r="J17" s="394">
        <f>IF(ISNUMBER((Tasas!D17-Datos!BF17)/Datos!BF17),(Tasas!D17-Datos!BF17)/Datos!BF17," - ")</f>
        <v>-0.41099676565715965</v>
      </c>
      <c r="K17" s="396">
        <f>IF(ISNUMBER((Tasas!E17-Datos!BG17)/Datos!BG17),(Tasas!E17-Datos!BG17)/Datos!BG17," - ")</f>
        <v>-0.10228756853787782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0.41176470588235292</v>
      </c>
      <c r="E18" s="393">
        <f>IF(ISNUMBER(
   IF(D_I="SI",(Datos!J18-Datos!T18)/Datos!T18,(Datos!J18+Datos!AD18-(Datos!T18+Datos!AL18))/(Datos!T18+Datos!AL18))
     ),IF(D_I="SI",(Datos!J18-Datos!T18)/Datos!T18,(Datos!J18+Datos!AD18-(Datos!T18+Datos!AL18))/(Datos!T18+Datos!AL18))," - ")</f>
        <v>0.26760563380281688</v>
      </c>
      <c r="F18" s="393">
        <f>IF(ISNUMBER(
   IF(D_I="SI",(Datos!K18-Datos!U18)/Datos!U18,(Datos!K18+Datos!AE18-(Datos!U18+Datos!AM18))/(Datos!U18+Datos!AM18))
     ),IF(D_I="SI",(Datos!K18-Datos!U18)/Datos!U18,(Datos!K18+Datos!AE18-(Datos!U18+Datos!AM18))/(Datos!U18+Datos!AM18))," - ")</f>
        <v>0.28125</v>
      </c>
      <c r="G18" s="394">
        <f>IF(ISNUMBER(
   IF(D_I="SI",(Datos!L18-Datos!V18)/Datos!V18,(Datos!L18+Datos!AF18-(Datos!V18+Datos!AN18))/(Datos!V18+Datos!AN18))
     ),IF(D_I="SI",(Datos!L18-Datos!V18)/Datos!V18,(Datos!L18+Datos!AF18-(Datos!V18+Datos!AN18))/(Datos!V18+Datos!AN18))," - ")</f>
        <v>0.33333333333333331</v>
      </c>
      <c r="H18" s="244">
        <f>IF(ISNUMBER((Datos!M18-Datos!W18)/Datos!W18),(Datos!M18-Datos!W18)/Datos!W18," - ")</f>
        <v>-0.29411764705882354</v>
      </c>
      <c r="I18" s="395">
        <f>IF(ISNUMBER((Tasas!C18-Datos!BE18)/Datos!BE18),(Tasas!C18-Datos!BE18)/Datos!BE18," - ")</f>
        <v>4.0650406504065074E-2</v>
      </c>
      <c r="J18" s="394">
        <f>IF(ISNUMBER((Tasas!D18-Datos!BF18)/Datos!BF18),(Tasas!D18-Datos!BF18)/Datos!BF18," - ")</f>
        <v>-0.44906743185078912</v>
      </c>
      <c r="K18" s="396">
        <f>IF(ISNUMBER((Tasas!E18-Datos!BG18)/Datos!BG18),(Tasas!E18-Datos!BG18)/Datos!BG18," - ")</f>
        <v>1.1086474501108577E-2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-0.23030303030303031</v>
      </c>
      <c r="E23" s="399">
        <f>IF(ISNUMBER(
   IF(D_I="SI",(Datos!J23-Datos!T23)/Datos!T23,(Datos!J23+Datos!AD23-(Datos!T23+Datos!AL23))/(Datos!T23+Datos!AL23))
     ),IF(D_I="SI",(Datos!J23-Datos!T23)/Datos!T23,(Datos!J23+Datos!AD23-(Datos!T23+Datos!AL23))/(Datos!T23+Datos!AL23))," - ")</f>
        <v>0.1755829903978052</v>
      </c>
      <c r="F23" s="399">
        <f>IF(ISNUMBER(
   IF(D_I="SI",(Datos!K23-Datos!U23)/Datos!U23,(Datos!K23+Datos!AE23-(Datos!U23+Datos!AM23))/(Datos!U23+Datos!AM23))
     ),IF(D_I="SI",(Datos!K23-Datos!U23)/Datos!U23,(Datos!K23+Datos!AE23-(Datos!U23+Datos!AM23))/(Datos!U23+Datos!AM23))," - ")</f>
        <v>0.15652173913043479</v>
      </c>
      <c r="G23" s="400">
        <f>IF(ISNUMBER(
   IF(D_I="SI",(Datos!L23-Datos!V23)/Datos!V23,(Datos!L23+Datos!AF23-(Datos!V23+Datos!AN23))/(Datos!V23+Datos!AN23))
     ),IF(D_I="SI",(Datos!L23-Datos!V23)/Datos!V23,(Datos!L23+Datos!AF23-(Datos!V23+Datos!AN23))/(Datos!V23+Datos!AN23))," - ")</f>
        <v>0.14960629921259844</v>
      </c>
      <c r="H23" s="401">
        <f>IF(ISNUMBER((Datos!M23-Datos!W23)/Datos!W23),(Datos!M23-Datos!W23)/Datos!W23," - ")</f>
        <v>-0.32142857142857145</v>
      </c>
      <c r="I23" s="402">
        <f>IF(ISNUMBER((Tasas!C23-Datos!BE23)/Datos!BE23),(Tasas!C23-Datos!BE23)/Datos!BE23," - ")</f>
        <v>-5.9795157184299955E-3</v>
      </c>
      <c r="J23" s="400">
        <f>IF(ISNUMBER((Tasas!D23-Datos!BF23)/Datos!BF23),(Tasas!D23-Datos!BF23)/Datos!BF23," - ")</f>
        <v>-0.41326530612244899</v>
      </c>
      <c r="K23" s="403">
        <f>IF(ISNUMBER((Tasas!E23-Datos!BG23)/Datos!BG23),(Tasas!E23-Datos!BG23)/Datos!BG23," - ")</f>
        <v>-9.2880927531292873E-2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-5.5007052186177713E-2</v>
      </c>
      <c r="E31" s="409">
        <f>IF(ISNUMBER(
   IF(J_V="SI",(Datos!J31-Datos!T31)/Datos!T31,(Datos!J31+Datos!Z31-(Datos!T31+Datos!AH31))/(Datos!T31+Datos!AH31))
     ),IF(J_V="SI",(Datos!J31-Datos!T31)/Datos!T31,(Datos!J31+Datos!Z31-(Datos!T31+Datos!AH31))/(Datos!T31+Datos!AH31))," - ")</f>
        <v>0.12346625766871165</v>
      </c>
      <c r="F31" s="409">
        <f>IF(ISNUMBER(
   IF(J_V="SI",(Datos!K31-Datos!U31)/Datos!U31,(Datos!K31+Datos!AA31-(Datos!U31+Datos!AI31))/(Datos!U31+Datos!AI31))
     ),IF(J_V="SI",(Datos!K31-Datos!U31)/Datos!U31,(Datos!K31+Datos!AA31-(Datos!U31+Datos!AI31))/(Datos!U31+Datos!AI31))," - ")</f>
        <v>0.11274934952298352</v>
      </c>
      <c r="G31" s="410">
        <f>IF(ISNUMBER(
   IF(J_V="SI",(Datos!L31-Datos!V31)/Datos!V31,(Datos!L31+Datos!AB31-(Datos!V31+Datos!AJ31))/(Datos!V31+Datos!AJ31))
     ),IF(J_V="SI",(Datos!L31-Datos!V31)/Datos!V31,(Datos!L31+Datos!AB31-(Datos!V31+Datos!AJ31))/(Datos!V31+Datos!AJ31))," - ")</f>
        <v>0.17462686567164179</v>
      </c>
      <c r="H31" s="411">
        <f>IF(ISNUMBER((Datos!M31-Datos!W31)/Datos!W31),(Datos!M31-Datos!W31)/Datos!W31," - ")</f>
        <v>-9.2592592592592587E-3</v>
      </c>
      <c r="I31" s="408">
        <f>IF(ISNUMBER((Tasas!C31-Datos!BE31)/Datos!BE31),(Tasas!C31-Datos!BE31)/Datos!BE31," - ")</f>
        <v>5.5607775619176139E-2</v>
      </c>
      <c r="J31" s="409">
        <f>IF(ISNUMBER((Tasas!D31-Datos!BF31)/Datos!BF31),(Tasas!D31-Datos!BF31)/Datos!BF31," - ")</f>
        <v>-0.29034521833916699</v>
      </c>
      <c r="K31" s="410">
        <f>IF(ISNUMBER((Tasas!E31-Datos!BG31)/Datos!BG31),(Tasas!E31-Datos!BG31)/Datos!BG31," - ")</f>
        <v>-4.6859869151373405E-2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0.60083631493104472</v>
      </c>
      <c r="E33" s="303">
        <f t="shared" si="1"/>
        <v>0.11137184062025642</v>
      </c>
      <c r="F33" s="303">
        <f t="shared" si="1"/>
        <v>7.596107107138414E-2</v>
      </c>
      <c r="G33" s="304">
        <f t="shared" si="1"/>
        <v>0.60913505691133374</v>
      </c>
      <c r="H33" s="310">
        <f t="shared" si="1"/>
        <v>0.35123719952023125</v>
      </c>
      <c r="I33" s="302">
        <f t="shared" si="1"/>
        <v>7.6571324252714359E-2</v>
      </c>
      <c r="J33" s="303">
        <f t="shared" si="1"/>
        <v>0.14080888270006664</v>
      </c>
      <c r="K33" s="304">
        <f t="shared" si="1"/>
        <v>6.594688459983615E-2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mm9quHZw56KZ3VOqUhyhcflutdLaWPAIzjj19jMQ9/oWUMlBBNINaXsjxABaP8iWROQmwQ+PScRlRDikkaa9eg==" saltValue="sgGydh3+zmqXXq2O/zd7oQ=="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